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pc\Dropbox\Documents Ecotuned\5000_Développement des affaires\Documents d'informations\"/>
    </mc:Choice>
  </mc:AlternateContent>
  <bookViews>
    <workbookView xWindow="0" yWindow="0" windowWidth="23040" windowHeight="7545"/>
  </bookViews>
  <sheets>
    <sheet name="Comparaison" sheetId="1" r:id="rId1"/>
    <sheet name="Feuille de calcul" sheetId="2" r:id="rId2"/>
  </sheets>
  <externalReferences>
    <externalReference r:id="rId3"/>
    <externalReference r:id="rId4"/>
  </externalReferences>
  <definedNames>
    <definedName name="data3">[1]Emprunts!$AV$14:$AZ$61</definedName>
    <definedName name="datagen">'[1]Hypothèses du plan d''affaires'!$W$11:$AH$71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2" l="1"/>
  <c r="D41" i="1" l="1"/>
  <c r="D31" i="1"/>
  <c r="D26" i="1"/>
  <c r="E116" i="2"/>
  <c r="F116" i="2"/>
  <c r="G116" i="2"/>
  <c r="H116" i="2"/>
  <c r="D116" i="2"/>
  <c r="D21" i="1"/>
  <c r="F120" i="2" l="1"/>
  <c r="F118" i="2"/>
  <c r="D25" i="1" l="1"/>
  <c r="F51" i="2"/>
  <c r="E51" i="2"/>
  <c r="C24" i="1" l="1"/>
  <c r="D44" i="1" l="1"/>
  <c r="C46" i="1"/>
  <c r="C44" i="1"/>
  <c r="C25" i="1"/>
  <c r="AM108" i="2" l="1"/>
  <c r="AN108" i="2"/>
  <c r="D126" i="2"/>
  <c r="D100" i="2" l="1"/>
  <c r="Z589" i="2" l="1"/>
  <c r="P586" i="2"/>
  <c r="Y584" i="2"/>
  <c r="Z584" i="2" s="1"/>
  <c r="Y583" i="2"/>
  <c r="Z583" i="2" s="1"/>
  <c r="Y582" i="2"/>
  <c r="Z582" i="2" s="1"/>
  <c r="Y581" i="2"/>
  <c r="Z581" i="2" s="1"/>
  <c r="Z586" i="2" s="1"/>
  <c r="F573" i="2"/>
  <c r="F579" i="2" s="1"/>
  <c r="E579" i="2" s="1"/>
  <c r="C571" i="2"/>
  <c r="C572" i="2" s="1"/>
  <c r="C570" i="2"/>
  <c r="G550" i="2"/>
  <c r="H550" i="2" s="1"/>
  <c r="I550" i="2" s="1"/>
  <c r="J550" i="2" s="1"/>
  <c r="K550" i="2" s="1"/>
  <c r="L550" i="2" s="1"/>
  <c r="M548" i="2"/>
  <c r="D548" i="2"/>
  <c r="M547" i="2"/>
  <c r="D547" i="2"/>
  <c r="M546" i="2"/>
  <c r="D546" i="2"/>
  <c r="M545" i="2"/>
  <c r="D545" i="2"/>
  <c r="M544" i="2"/>
  <c r="D544" i="2"/>
  <c r="M543" i="2"/>
  <c r="D543" i="2"/>
  <c r="M542" i="2"/>
  <c r="D542" i="2"/>
  <c r="M541" i="2"/>
  <c r="D541" i="2"/>
  <c r="M540" i="2"/>
  <c r="D540" i="2"/>
  <c r="M539" i="2"/>
  <c r="D539" i="2"/>
  <c r="M538" i="2"/>
  <c r="D538" i="2"/>
  <c r="M537" i="2"/>
  <c r="D537" i="2"/>
  <c r="M536" i="2"/>
  <c r="D536" i="2"/>
  <c r="M535" i="2"/>
  <c r="D535" i="2"/>
  <c r="M534" i="2"/>
  <c r="D534" i="2"/>
  <c r="M533" i="2"/>
  <c r="D533" i="2"/>
  <c r="M532" i="2"/>
  <c r="D532" i="2"/>
  <c r="M531" i="2"/>
  <c r="D531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C303" i="2"/>
  <c r="C300" i="2"/>
  <c r="D299" i="2"/>
  <c r="D294" i="2"/>
  <c r="I291" i="2"/>
  <c r="H291" i="2"/>
  <c r="G291" i="2"/>
  <c r="F291" i="2"/>
  <c r="E291" i="2"/>
  <c r="D291" i="2"/>
  <c r="E282" i="2"/>
  <c r="E284" i="2" s="1"/>
  <c r="C274" i="2"/>
  <c r="C271" i="2"/>
  <c r="D270" i="2"/>
  <c r="D266" i="2"/>
  <c r="I263" i="2"/>
  <c r="H263" i="2"/>
  <c r="G263" i="2"/>
  <c r="F263" i="2"/>
  <c r="E263" i="2"/>
  <c r="D263" i="2"/>
  <c r="E254" i="2"/>
  <c r="E256" i="2" s="1"/>
  <c r="C246" i="2"/>
  <c r="C243" i="2"/>
  <c r="D242" i="2"/>
  <c r="D238" i="2"/>
  <c r="I235" i="2"/>
  <c r="H235" i="2"/>
  <c r="G235" i="2"/>
  <c r="F235" i="2"/>
  <c r="E235" i="2"/>
  <c r="D235" i="2"/>
  <c r="E226" i="2"/>
  <c r="C218" i="2"/>
  <c r="C215" i="2"/>
  <c r="D214" i="2"/>
  <c r="D209" i="2"/>
  <c r="I206" i="2"/>
  <c r="H206" i="2"/>
  <c r="G206" i="2"/>
  <c r="F206" i="2"/>
  <c r="E206" i="2"/>
  <c r="D206" i="2"/>
  <c r="E197" i="2"/>
  <c r="E199" i="2" s="1"/>
  <c r="D185" i="2"/>
  <c r="D181" i="2"/>
  <c r="I178" i="2"/>
  <c r="H178" i="2"/>
  <c r="G178" i="2"/>
  <c r="F178" i="2"/>
  <c r="E178" i="2"/>
  <c r="D178" i="2"/>
  <c r="E169" i="2"/>
  <c r="C162" i="2"/>
  <c r="C189" i="2" s="1"/>
  <c r="C159" i="2"/>
  <c r="C186" i="2" s="1"/>
  <c r="D158" i="2"/>
  <c r="D154" i="2"/>
  <c r="I151" i="2"/>
  <c r="H151" i="2"/>
  <c r="G151" i="2"/>
  <c r="F151" i="2"/>
  <c r="E151" i="2"/>
  <c r="D151" i="2"/>
  <c r="C145" i="2"/>
  <c r="E142" i="2"/>
  <c r="D138" i="2"/>
  <c r="C138" i="2"/>
  <c r="D137" i="2"/>
  <c r="E201" i="2" s="1"/>
  <c r="C137" i="2"/>
  <c r="D136" i="2"/>
  <c r="C136" i="2"/>
  <c r="D135" i="2"/>
  <c r="C135" i="2"/>
  <c r="D134" i="2"/>
  <c r="C134" i="2"/>
  <c r="D133" i="2"/>
  <c r="C133" i="2"/>
  <c r="C107" i="2" s="1"/>
  <c r="D132" i="2"/>
  <c r="C132" i="2"/>
  <c r="D131" i="2"/>
  <c r="D108" i="2" s="1"/>
  <c r="C131" i="2"/>
  <c r="D130" i="2"/>
  <c r="C130" i="2"/>
  <c r="D129" i="2"/>
  <c r="C129" i="2"/>
  <c r="D128" i="2"/>
  <c r="C127" i="2"/>
  <c r="C126" i="2"/>
  <c r="D124" i="2"/>
  <c r="C124" i="2"/>
  <c r="C123" i="2"/>
  <c r="C122" i="2"/>
  <c r="D110" i="2"/>
  <c r="I107" i="2"/>
  <c r="H107" i="2"/>
  <c r="G107" i="2"/>
  <c r="F107" i="2"/>
  <c r="E107" i="2"/>
  <c r="D107" i="2"/>
  <c r="D99" i="2"/>
  <c r="E98" i="2"/>
  <c r="U93" i="2"/>
  <c r="T93" i="2"/>
  <c r="S93" i="2"/>
  <c r="R93" i="2"/>
  <c r="Q93" i="2"/>
  <c r="P93" i="2"/>
  <c r="U84" i="2"/>
  <c r="T84" i="2"/>
  <c r="S84" i="2"/>
  <c r="R84" i="2"/>
  <c r="Q84" i="2"/>
  <c r="P84" i="2"/>
  <c r="D67" i="2"/>
  <c r="D66" i="2"/>
  <c r="D65" i="2"/>
  <c r="D64" i="2"/>
  <c r="D87" i="2" s="1"/>
  <c r="D93" i="2" s="1"/>
  <c r="D61" i="2"/>
  <c r="D60" i="2"/>
  <c r="D59" i="2"/>
  <c r="D58" i="2"/>
  <c r="D80" i="2" s="1"/>
  <c r="D84" i="2" s="1"/>
  <c r="D55" i="2"/>
  <c r="D54" i="2"/>
  <c r="D53" i="2"/>
  <c r="D52" i="2"/>
  <c r="D51" i="2"/>
  <c r="D48" i="2"/>
  <c r="D47" i="2"/>
  <c r="D46" i="2"/>
  <c r="D45" i="2"/>
  <c r="P99" i="1"/>
  <c r="P98" i="1"/>
  <c r="P97" i="1"/>
  <c r="P95" i="1"/>
  <c r="O93" i="1"/>
  <c r="S86" i="1"/>
  <c r="R86" i="1"/>
  <c r="Q86" i="1"/>
  <c r="P86" i="1"/>
  <c r="O86" i="1"/>
  <c r="S85" i="1"/>
  <c r="R85" i="1"/>
  <c r="Q85" i="1"/>
  <c r="P85" i="1"/>
  <c r="O85" i="1"/>
  <c r="S84" i="1"/>
  <c r="R84" i="1"/>
  <c r="Q84" i="1"/>
  <c r="P84" i="1"/>
  <c r="O84" i="1"/>
  <c r="S83" i="1"/>
  <c r="R83" i="1"/>
  <c r="Q83" i="1"/>
  <c r="P83" i="1"/>
  <c r="O83" i="1"/>
  <c r="S82" i="1"/>
  <c r="R82" i="1"/>
  <c r="Q82" i="1"/>
  <c r="P82" i="1"/>
  <c r="O79" i="1"/>
  <c r="O78" i="1"/>
  <c r="D127" i="2"/>
  <c r="D74" i="2"/>
  <c r="O541" i="2"/>
  <c r="O540" i="2"/>
  <c r="O542" i="2"/>
  <c r="O539" i="2"/>
  <c r="H73" i="2" l="1"/>
  <c r="E73" i="2"/>
  <c r="F73" i="2"/>
  <c r="K73" i="2"/>
  <c r="O73" i="2"/>
  <c r="T73" i="2"/>
  <c r="G73" i="2"/>
  <c r="L73" i="2"/>
  <c r="Q73" i="2"/>
  <c r="M73" i="2"/>
  <c r="R73" i="2"/>
  <c r="U73" i="2"/>
  <c r="I73" i="2"/>
  <c r="N73" i="2"/>
  <c r="S73" i="2"/>
  <c r="D73" i="2"/>
  <c r="D77" i="2" s="1"/>
  <c r="E490" i="2" s="1"/>
  <c r="E510" i="2" s="1"/>
  <c r="P73" i="2"/>
  <c r="J73" i="2"/>
  <c r="F282" i="2"/>
  <c r="F285" i="2" s="1"/>
  <c r="F197" i="2"/>
  <c r="F200" i="2" s="1"/>
  <c r="U74" i="2"/>
  <c r="U77" i="2" s="1"/>
  <c r="E507" i="2" s="1"/>
  <c r="E74" i="2"/>
  <c r="AM106" i="2"/>
  <c r="AN106" i="2"/>
  <c r="AM105" i="2"/>
  <c r="AN105" i="2"/>
  <c r="O74" i="2"/>
  <c r="F576" i="2"/>
  <c r="E576" i="2" s="1"/>
  <c r="D306" i="2"/>
  <c r="D292" i="2" s="1"/>
  <c r="F578" i="2"/>
  <c r="T75" i="2"/>
  <c r="F574" i="2"/>
  <c r="E102" i="2"/>
  <c r="C573" i="2"/>
  <c r="F74" i="2"/>
  <c r="J74" i="2"/>
  <c r="N74" i="2"/>
  <c r="R74" i="2"/>
  <c r="R77" i="2" s="1"/>
  <c r="E504" i="2" s="1"/>
  <c r="E75" i="2"/>
  <c r="I75" i="2"/>
  <c r="M75" i="2"/>
  <c r="Q75" i="2"/>
  <c r="T88" i="2"/>
  <c r="P88" i="2"/>
  <c r="L88" i="2"/>
  <c r="H88" i="2"/>
  <c r="U87" i="2"/>
  <c r="Q87" i="2"/>
  <c r="M87" i="2"/>
  <c r="I87" i="2"/>
  <c r="E87" i="2"/>
  <c r="S88" i="2"/>
  <c r="O88" i="2"/>
  <c r="K88" i="2"/>
  <c r="G88" i="2"/>
  <c r="T87" i="2"/>
  <c r="P87" i="2"/>
  <c r="L87" i="2"/>
  <c r="H87" i="2"/>
  <c r="R88" i="2"/>
  <c r="N88" i="2"/>
  <c r="J88" i="2"/>
  <c r="F88" i="2"/>
  <c r="S87" i="2"/>
  <c r="O87" i="2"/>
  <c r="K87" i="2"/>
  <c r="G87" i="2"/>
  <c r="U88" i="2"/>
  <c r="Q88" i="2"/>
  <c r="M88" i="2"/>
  <c r="I88" i="2"/>
  <c r="E88" i="2"/>
  <c r="R87" i="2"/>
  <c r="N87" i="2"/>
  <c r="J87" i="2"/>
  <c r="F87" i="2"/>
  <c r="G74" i="2"/>
  <c r="K74" i="2"/>
  <c r="S74" i="2"/>
  <c r="S77" i="2" s="1"/>
  <c r="E505" i="2" s="1"/>
  <c r="F75" i="2"/>
  <c r="J75" i="2"/>
  <c r="N75" i="2"/>
  <c r="S75" i="2"/>
  <c r="AI290" i="2"/>
  <c r="AE290" i="2"/>
  <c r="AA290" i="2"/>
  <c r="W290" i="2"/>
  <c r="S290" i="2"/>
  <c r="O290" i="2"/>
  <c r="K290" i="2"/>
  <c r="G290" i="2"/>
  <c r="AL290" i="2"/>
  <c r="AH290" i="2"/>
  <c r="AD290" i="2"/>
  <c r="Z290" i="2"/>
  <c r="V290" i="2"/>
  <c r="R290" i="2"/>
  <c r="N290" i="2"/>
  <c r="J290" i="2"/>
  <c r="F290" i="2"/>
  <c r="AK290" i="2"/>
  <c r="AC290" i="2"/>
  <c r="U290" i="2"/>
  <c r="M290" i="2"/>
  <c r="E290" i="2"/>
  <c r="AJ290" i="2"/>
  <c r="AB290" i="2"/>
  <c r="T290" i="2"/>
  <c r="L290" i="2"/>
  <c r="AG290" i="2"/>
  <c r="Y290" i="2"/>
  <c r="Q290" i="2"/>
  <c r="I290" i="2"/>
  <c r="AJ262" i="2"/>
  <c r="AF262" i="2"/>
  <c r="AB262" i="2"/>
  <c r="X262" i="2"/>
  <c r="T262" i="2"/>
  <c r="P262" i="2"/>
  <c r="L262" i="2"/>
  <c r="H262" i="2"/>
  <c r="AF290" i="2"/>
  <c r="AK262" i="2"/>
  <c r="AE262" i="2"/>
  <c r="Z262" i="2"/>
  <c r="U262" i="2"/>
  <c r="O262" i="2"/>
  <c r="J262" i="2"/>
  <c r="E262" i="2"/>
  <c r="AJ234" i="2"/>
  <c r="AF234" i="2"/>
  <c r="AB234" i="2"/>
  <c r="X234" i="2"/>
  <c r="T234" i="2"/>
  <c r="P234" i="2"/>
  <c r="L234" i="2"/>
  <c r="H234" i="2"/>
  <c r="X290" i="2"/>
  <c r="AI262" i="2"/>
  <c r="AD262" i="2"/>
  <c r="Y262" i="2"/>
  <c r="S262" i="2"/>
  <c r="N262" i="2"/>
  <c r="I262" i="2"/>
  <c r="AI234" i="2"/>
  <c r="AE234" i="2"/>
  <c r="AA234" i="2"/>
  <c r="W234" i="2"/>
  <c r="S234" i="2"/>
  <c r="O234" i="2"/>
  <c r="K234" i="2"/>
  <c r="G234" i="2"/>
  <c r="AJ205" i="2"/>
  <c r="AF205" i="2"/>
  <c r="P290" i="2"/>
  <c r="AH262" i="2"/>
  <c r="AC262" i="2"/>
  <c r="W262" i="2"/>
  <c r="R262" i="2"/>
  <c r="M262" i="2"/>
  <c r="G262" i="2"/>
  <c r="AL234" i="2"/>
  <c r="AH234" i="2"/>
  <c r="AD234" i="2"/>
  <c r="Z234" i="2"/>
  <c r="V234" i="2"/>
  <c r="R234" i="2"/>
  <c r="N234" i="2"/>
  <c r="J234" i="2"/>
  <c r="F234" i="2"/>
  <c r="AI205" i="2"/>
  <c r="AE205" i="2"/>
  <c r="AA205" i="2"/>
  <c r="AA262" i="2"/>
  <c r="F262" i="2"/>
  <c r="Y234" i="2"/>
  <c r="I234" i="2"/>
  <c r="AL205" i="2"/>
  <c r="AD205" i="2"/>
  <c r="Y205" i="2"/>
  <c r="U205" i="2"/>
  <c r="Q205" i="2"/>
  <c r="M205" i="2"/>
  <c r="I205" i="2"/>
  <c r="E205" i="2"/>
  <c r="AL177" i="2"/>
  <c r="AH177" i="2"/>
  <c r="AD177" i="2"/>
  <c r="Z177" i="2"/>
  <c r="V177" i="2"/>
  <c r="R177" i="2"/>
  <c r="N177" i="2"/>
  <c r="J177" i="2"/>
  <c r="F177" i="2"/>
  <c r="V262" i="2"/>
  <c r="AK234" i="2"/>
  <c r="U234" i="2"/>
  <c r="E234" i="2"/>
  <c r="AK205" i="2"/>
  <c r="AC205" i="2"/>
  <c r="X205" i="2"/>
  <c r="T205" i="2"/>
  <c r="P205" i="2"/>
  <c r="L205" i="2"/>
  <c r="H205" i="2"/>
  <c r="AK177" i="2"/>
  <c r="AG177" i="2"/>
  <c r="AC177" i="2"/>
  <c r="Y177" i="2"/>
  <c r="U177" i="2"/>
  <c r="Q177" i="2"/>
  <c r="M177" i="2"/>
  <c r="I177" i="2"/>
  <c r="E177" i="2"/>
  <c r="AL262" i="2"/>
  <c r="Q262" i="2"/>
  <c r="AG234" i="2"/>
  <c r="Q234" i="2"/>
  <c r="AH205" i="2"/>
  <c r="AB205" i="2"/>
  <c r="W205" i="2"/>
  <c r="S205" i="2"/>
  <c r="O205" i="2"/>
  <c r="K205" i="2"/>
  <c r="G205" i="2"/>
  <c r="AJ177" i="2"/>
  <c r="AF177" i="2"/>
  <c r="AB177" i="2"/>
  <c r="X177" i="2"/>
  <c r="T177" i="2"/>
  <c r="P177" i="2"/>
  <c r="L177" i="2"/>
  <c r="H177" i="2"/>
  <c r="AG205" i="2"/>
  <c r="N205" i="2"/>
  <c r="AI177" i="2"/>
  <c r="S177" i="2"/>
  <c r="AG262" i="2"/>
  <c r="AC234" i="2"/>
  <c r="Z205" i="2"/>
  <c r="J205" i="2"/>
  <c r="AE177" i="2"/>
  <c r="O177" i="2"/>
  <c r="AK150" i="2"/>
  <c r="AG150" i="2"/>
  <c r="AC150" i="2"/>
  <c r="Y150" i="2"/>
  <c r="U150" i="2"/>
  <c r="Q150" i="2"/>
  <c r="M150" i="2"/>
  <c r="I150" i="2"/>
  <c r="E150" i="2"/>
  <c r="H290" i="2"/>
  <c r="K262" i="2"/>
  <c r="M234" i="2"/>
  <c r="V205" i="2"/>
  <c r="F205" i="2"/>
  <c r="AA177" i="2"/>
  <c r="K177" i="2"/>
  <c r="AJ150" i="2"/>
  <c r="AF150" i="2"/>
  <c r="AB150" i="2"/>
  <c r="X150" i="2"/>
  <c r="T150" i="2"/>
  <c r="P150" i="2"/>
  <c r="L150" i="2"/>
  <c r="R205" i="2"/>
  <c r="W177" i="2"/>
  <c r="G177" i="2"/>
  <c r="AI150" i="2"/>
  <c r="AE150" i="2"/>
  <c r="AA150" i="2"/>
  <c r="W150" i="2"/>
  <c r="S150" i="2"/>
  <c r="O150" i="2"/>
  <c r="K150" i="2"/>
  <c r="G150" i="2"/>
  <c r="AD150" i="2"/>
  <c r="N150" i="2"/>
  <c r="AK106" i="2"/>
  <c r="AG106" i="2"/>
  <c r="AC106" i="2"/>
  <c r="Y106" i="2"/>
  <c r="U106" i="2"/>
  <c r="Q106" i="2"/>
  <c r="M106" i="2"/>
  <c r="I106" i="2"/>
  <c r="E106" i="2"/>
  <c r="U91" i="2"/>
  <c r="Q91" i="2"/>
  <c r="M91" i="2"/>
  <c r="I91" i="2"/>
  <c r="E91" i="2"/>
  <c r="S83" i="2"/>
  <c r="O83" i="2"/>
  <c r="K83" i="2"/>
  <c r="G83" i="2"/>
  <c r="T76" i="2"/>
  <c r="P76" i="2"/>
  <c r="L76" i="2"/>
  <c r="H76" i="2"/>
  <c r="Z150" i="2"/>
  <c r="J150" i="2"/>
  <c r="AJ106" i="2"/>
  <c r="AF106" i="2"/>
  <c r="AB106" i="2"/>
  <c r="X106" i="2"/>
  <c r="T106" i="2"/>
  <c r="P106" i="2"/>
  <c r="L106" i="2"/>
  <c r="H106" i="2"/>
  <c r="T91" i="2"/>
  <c r="P91" i="2"/>
  <c r="L91" i="2"/>
  <c r="H91" i="2"/>
  <c r="R83" i="2"/>
  <c r="N83" i="2"/>
  <c r="J83" i="2"/>
  <c r="F83" i="2"/>
  <c r="S76" i="2"/>
  <c r="O76" i="2"/>
  <c r="K76" i="2"/>
  <c r="G76" i="2"/>
  <c r="AL150" i="2"/>
  <c r="V150" i="2"/>
  <c r="H150" i="2"/>
  <c r="AI106" i="2"/>
  <c r="AE106" i="2"/>
  <c r="AA106" i="2"/>
  <c r="W106" i="2"/>
  <c r="S106" i="2"/>
  <c r="O106" i="2"/>
  <c r="K106" i="2"/>
  <c r="G106" i="2"/>
  <c r="S91" i="2"/>
  <c r="O91" i="2"/>
  <c r="K91" i="2"/>
  <c r="G91" i="2"/>
  <c r="U83" i="2"/>
  <c r="Q83" i="2"/>
  <c r="M83" i="2"/>
  <c r="I83" i="2"/>
  <c r="E83" i="2"/>
  <c r="R76" i="2"/>
  <c r="N76" i="2"/>
  <c r="J76" i="2"/>
  <c r="AH150" i="2"/>
  <c r="R150" i="2"/>
  <c r="F150" i="2"/>
  <c r="AL106" i="2"/>
  <c r="AH106" i="2"/>
  <c r="AD106" i="2"/>
  <c r="Z106" i="2"/>
  <c r="V106" i="2"/>
  <c r="R106" i="2"/>
  <c r="N106" i="2"/>
  <c r="J106" i="2"/>
  <c r="F106" i="2"/>
  <c r="R91" i="2"/>
  <c r="N91" i="2"/>
  <c r="J91" i="2"/>
  <c r="F91" i="2"/>
  <c r="T83" i="2"/>
  <c r="P83" i="2"/>
  <c r="L83" i="2"/>
  <c r="H83" i="2"/>
  <c r="U76" i="2"/>
  <c r="Q76" i="2"/>
  <c r="M76" i="2"/>
  <c r="I76" i="2"/>
  <c r="E76" i="2"/>
  <c r="U81" i="2"/>
  <c r="Q81" i="2"/>
  <c r="M81" i="2"/>
  <c r="I81" i="2"/>
  <c r="E81" i="2"/>
  <c r="R80" i="2"/>
  <c r="N80" i="2"/>
  <c r="J80" i="2"/>
  <c r="F80" i="2"/>
  <c r="T81" i="2"/>
  <c r="P81" i="2"/>
  <c r="L81" i="2"/>
  <c r="H81" i="2"/>
  <c r="U80" i="2"/>
  <c r="Q80" i="2"/>
  <c r="M80" i="2"/>
  <c r="I80" i="2"/>
  <c r="E80" i="2"/>
  <c r="S81" i="2"/>
  <c r="O81" i="2"/>
  <c r="K81" i="2"/>
  <c r="G81" i="2"/>
  <c r="T80" i="2"/>
  <c r="P80" i="2"/>
  <c r="L80" i="2"/>
  <c r="H80" i="2"/>
  <c r="R81" i="2"/>
  <c r="N81" i="2"/>
  <c r="J81" i="2"/>
  <c r="F81" i="2"/>
  <c r="S80" i="2"/>
  <c r="O80" i="2"/>
  <c r="K80" i="2"/>
  <c r="G80" i="2"/>
  <c r="H74" i="2"/>
  <c r="L74" i="2"/>
  <c r="P74" i="2"/>
  <c r="P77" i="2" s="1"/>
  <c r="E502" i="2" s="1"/>
  <c r="T74" i="2"/>
  <c r="T77" i="2" s="1"/>
  <c r="E506" i="2" s="1"/>
  <c r="G75" i="2"/>
  <c r="K75" i="2"/>
  <c r="O75" i="2"/>
  <c r="AK289" i="2"/>
  <c r="AJ289" i="2"/>
  <c r="AG289" i="2"/>
  <c r="AC289" i="2"/>
  <c r="Y289" i="2"/>
  <c r="U289" i="2"/>
  <c r="Q289" i="2"/>
  <c r="M289" i="2"/>
  <c r="I289" i="2"/>
  <c r="E289" i="2"/>
  <c r="AL289" i="2"/>
  <c r="AF289" i="2"/>
  <c r="AB289" i="2"/>
  <c r="X289" i="2"/>
  <c r="T289" i="2"/>
  <c r="P289" i="2"/>
  <c r="L289" i="2"/>
  <c r="H289" i="2"/>
  <c r="AI289" i="2"/>
  <c r="AE289" i="2"/>
  <c r="AA289" i="2"/>
  <c r="W289" i="2"/>
  <c r="S289" i="2"/>
  <c r="O289" i="2"/>
  <c r="K289" i="2"/>
  <c r="G289" i="2"/>
  <c r="AL261" i="2"/>
  <c r="AH261" i="2"/>
  <c r="AH289" i="2"/>
  <c r="R289" i="2"/>
  <c r="AG261" i="2"/>
  <c r="AC261" i="2"/>
  <c r="Y261" i="2"/>
  <c r="U261" i="2"/>
  <c r="Q261" i="2"/>
  <c r="M261" i="2"/>
  <c r="I261" i="2"/>
  <c r="E261" i="2"/>
  <c r="AL233" i="2"/>
  <c r="AH233" i="2"/>
  <c r="AD233" i="2"/>
  <c r="Z233" i="2"/>
  <c r="V233" i="2"/>
  <c r="R233" i="2"/>
  <c r="N233" i="2"/>
  <c r="J233" i="2"/>
  <c r="F233" i="2"/>
  <c r="AD289" i="2"/>
  <c r="N289" i="2"/>
  <c r="AK261" i="2"/>
  <c r="AF261" i="2"/>
  <c r="AB261" i="2"/>
  <c r="X261" i="2"/>
  <c r="T261" i="2"/>
  <c r="P261" i="2"/>
  <c r="L261" i="2"/>
  <c r="H261" i="2"/>
  <c r="AK233" i="2"/>
  <c r="AG233" i="2"/>
  <c r="AC233" i="2"/>
  <c r="Y233" i="2"/>
  <c r="U233" i="2"/>
  <c r="Q233" i="2"/>
  <c r="M233" i="2"/>
  <c r="I233" i="2"/>
  <c r="E233" i="2"/>
  <c r="Z289" i="2"/>
  <c r="J289" i="2"/>
  <c r="AJ261" i="2"/>
  <c r="AE261" i="2"/>
  <c r="AA261" i="2"/>
  <c r="W261" i="2"/>
  <c r="S261" i="2"/>
  <c r="O261" i="2"/>
  <c r="K261" i="2"/>
  <c r="G261" i="2"/>
  <c r="AJ233" i="2"/>
  <c r="AF233" i="2"/>
  <c r="AB233" i="2"/>
  <c r="X233" i="2"/>
  <c r="T233" i="2"/>
  <c r="P233" i="2"/>
  <c r="L233" i="2"/>
  <c r="H233" i="2"/>
  <c r="V289" i="2"/>
  <c r="V261" i="2"/>
  <c r="F261" i="2"/>
  <c r="AA233" i="2"/>
  <c r="K233" i="2"/>
  <c r="AI204" i="2"/>
  <c r="AE204" i="2"/>
  <c r="AA204" i="2"/>
  <c r="W204" i="2"/>
  <c r="S204" i="2"/>
  <c r="O204" i="2"/>
  <c r="K204" i="2"/>
  <c r="G204" i="2"/>
  <c r="AJ176" i="2"/>
  <c r="AF176" i="2"/>
  <c r="AB176" i="2"/>
  <c r="X176" i="2"/>
  <c r="T176" i="2"/>
  <c r="P176" i="2"/>
  <c r="L176" i="2"/>
  <c r="H176" i="2"/>
  <c r="F289" i="2"/>
  <c r="AI261" i="2"/>
  <c r="R261" i="2"/>
  <c r="W233" i="2"/>
  <c r="G233" i="2"/>
  <c r="AL204" i="2"/>
  <c r="AH204" i="2"/>
  <c r="AD204" i="2"/>
  <c r="Z204" i="2"/>
  <c r="V204" i="2"/>
  <c r="R204" i="2"/>
  <c r="N204" i="2"/>
  <c r="J204" i="2"/>
  <c r="F204" i="2"/>
  <c r="AI176" i="2"/>
  <c r="AE176" i="2"/>
  <c r="AA176" i="2"/>
  <c r="W176" i="2"/>
  <c r="S176" i="2"/>
  <c r="O176" i="2"/>
  <c r="K176" i="2"/>
  <c r="G176" i="2"/>
  <c r="AD261" i="2"/>
  <c r="N261" i="2"/>
  <c r="AI233" i="2"/>
  <c r="S233" i="2"/>
  <c r="AK204" i="2"/>
  <c r="AG204" i="2"/>
  <c r="AC204" i="2"/>
  <c r="Y204" i="2"/>
  <c r="U204" i="2"/>
  <c r="Q204" i="2"/>
  <c r="M204" i="2"/>
  <c r="I204" i="2"/>
  <c r="E204" i="2"/>
  <c r="AL176" i="2"/>
  <c r="AH176" i="2"/>
  <c r="AD176" i="2"/>
  <c r="Z176" i="2"/>
  <c r="V176" i="2"/>
  <c r="R176" i="2"/>
  <c r="N176" i="2"/>
  <c r="J176" i="2"/>
  <c r="F176" i="2"/>
  <c r="J261" i="2"/>
  <c r="O233" i="2"/>
  <c r="AF204" i="2"/>
  <c r="P204" i="2"/>
  <c r="AK176" i="2"/>
  <c r="U176" i="2"/>
  <c r="E176" i="2"/>
  <c r="AB204" i="2"/>
  <c r="L204" i="2"/>
  <c r="AG176" i="2"/>
  <c r="Q176" i="2"/>
  <c r="AI149" i="2"/>
  <c r="AE149" i="2"/>
  <c r="AA149" i="2"/>
  <c r="W149" i="2"/>
  <c r="S149" i="2"/>
  <c r="O149" i="2"/>
  <c r="K149" i="2"/>
  <c r="G149" i="2"/>
  <c r="X204" i="2"/>
  <c r="H204" i="2"/>
  <c r="AC176" i="2"/>
  <c r="M176" i="2"/>
  <c r="Z261" i="2"/>
  <c r="AE233" i="2"/>
  <c r="AJ204" i="2"/>
  <c r="T204" i="2"/>
  <c r="Y176" i="2"/>
  <c r="I176" i="2"/>
  <c r="AK149" i="2"/>
  <c r="AG149" i="2"/>
  <c r="AC149" i="2"/>
  <c r="Y149" i="2"/>
  <c r="U149" i="2"/>
  <c r="Q149" i="2"/>
  <c r="M149" i="2"/>
  <c r="I149" i="2"/>
  <c r="AL149" i="2"/>
  <c r="AD149" i="2"/>
  <c r="V149" i="2"/>
  <c r="N149" i="2"/>
  <c r="F149" i="2"/>
  <c r="AI105" i="2"/>
  <c r="AE105" i="2"/>
  <c r="AA105" i="2"/>
  <c r="W105" i="2"/>
  <c r="S105" i="2"/>
  <c r="O105" i="2"/>
  <c r="K105" i="2"/>
  <c r="G105" i="2"/>
  <c r="R90" i="2"/>
  <c r="N90" i="2"/>
  <c r="J90" i="2"/>
  <c r="F90" i="2"/>
  <c r="S89" i="2"/>
  <c r="O89" i="2"/>
  <c r="K89" i="2"/>
  <c r="G89" i="2"/>
  <c r="T82" i="2"/>
  <c r="P82" i="2"/>
  <c r="L82" i="2"/>
  <c r="H82" i="2"/>
  <c r="U75" i="2"/>
  <c r="AJ149" i="2"/>
  <c r="AB149" i="2"/>
  <c r="T149" i="2"/>
  <c r="L149" i="2"/>
  <c r="E149" i="2"/>
  <c r="AL105" i="2"/>
  <c r="AH105" i="2"/>
  <c r="AD105" i="2"/>
  <c r="Z105" i="2"/>
  <c r="V105" i="2"/>
  <c r="R105" i="2"/>
  <c r="N105" i="2"/>
  <c r="J105" i="2"/>
  <c r="F105" i="2"/>
  <c r="U90" i="2"/>
  <c r="Q90" i="2"/>
  <c r="M90" i="2"/>
  <c r="I90" i="2"/>
  <c r="E90" i="2"/>
  <c r="R89" i="2"/>
  <c r="N89" i="2"/>
  <c r="J89" i="2"/>
  <c r="F89" i="2"/>
  <c r="S82" i="2"/>
  <c r="O82" i="2"/>
  <c r="K82" i="2"/>
  <c r="G82" i="2"/>
  <c r="AH149" i="2"/>
  <c r="Z149" i="2"/>
  <c r="R149" i="2"/>
  <c r="J149" i="2"/>
  <c r="AK105" i="2"/>
  <c r="AG105" i="2"/>
  <c r="AC105" i="2"/>
  <c r="Y105" i="2"/>
  <c r="U105" i="2"/>
  <c r="Q105" i="2"/>
  <c r="M105" i="2"/>
  <c r="I105" i="2"/>
  <c r="E105" i="2"/>
  <c r="D12" i="2" s="1"/>
  <c r="T90" i="2"/>
  <c r="P90" i="2"/>
  <c r="L90" i="2"/>
  <c r="H90" i="2"/>
  <c r="U89" i="2"/>
  <c r="Q89" i="2"/>
  <c r="M89" i="2"/>
  <c r="I89" i="2"/>
  <c r="E89" i="2"/>
  <c r="D11" i="2" s="1"/>
  <c r="P79" i="1" s="1"/>
  <c r="R82" i="2"/>
  <c r="N82" i="2"/>
  <c r="J82" i="2"/>
  <c r="F82" i="2"/>
  <c r="AF149" i="2"/>
  <c r="X149" i="2"/>
  <c r="P149" i="2"/>
  <c r="H149" i="2"/>
  <c r="AJ105" i="2"/>
  <c r="AF105" i="2"/>
  <c r="AB105" i="2"/>
  <c r="X105" i="2"/>
  <c r="T105" i="2"/>
  <c r="P105" i="2"/>
  <c r="L105" i="2"/>
  <c r="H105" i="2"/>
  <c r="S90" i="2"/>
  <c r="O90" i="2"/>
  <c r="K90" i="2"/>
  <c r="G90" i="2"/>
  <c r="T89" i="2"/>
  <c r="P89" i="2"/>
  <c r="L89" i="2"/>
  <c r="H89" i="2"/>
  <c r="U82" i="2"/>
  <c r="Q82" i="2"/>
  <c r="M82" i="2"/>
  <c r="I82" i="2"/>
  <c r="E82" i="2"/>
  <c r="R75" i="2"/>
  <c r="I74" i="2"/>
  <c r="M74" i="2"/>
  <c r="Q74" i="2"/>
  <c r="Q77" i="2" s="1"/>
  <c r="E503" i="2" s="1"/>
  <c r="H75" i="2"/>
  <c r="L75" i="2"/>
  <c r="P75" i="2"/>
  <c r="F76" i="2"/>
  <c r="E101" i="2"/>
  <c r="C301" i="2"/>
  <c r="C272" i="2"/>
  <c r="C244" i="2"/>
  <c r="C216" i="2"/>
  <c r="C160" i="2"/>
  <c r="C187" i="2" s="1"/>
  <c r="F98" i="2"/>
  <c r="C304" i="2"/>
  <c r="C275" i="2"/>
  <c r="C247" i="2"/>
  <c r="C219" i="2"/>
  <c r="C163" i="2"/>
  <c r="C190" i="2" s="1"/>
  <c r="C306" i="2"/>
  <c r="C277" i="2"/>
  <c r="C249" i="2"/>
  <c r="C221" i="2"/>
  <c r="C165" i="2"/>
  <c r="C192" i="2" s="1"/>
  <c r="C291" i="2"/>
  <c r="C235" i="2"/>
  <c r="C263" i="2"/>
  <c r="C206" i="2"/>
  <c r="C178" i="2"/>
  <c r="C151" i="2"/>
  <c r="E146" i="2"/>
  <c r="E100" i="2"/>
  <c r="C299" i="2"/>
  <c r="C270" i="2"/>
  <c r="C214" i="2"/>
  <c r="C242" i="2"/>
  <c r="C158" i="2"/>
  <c r="C185" i="2" s="1"/>
  <c r="C302" i="2"/>
  <c r="C273" i="2"/>
  <c r="C245" i="2"/>
  <c r="C217" i="2"/>
  <c r="C161" i="2"/>
  <c r="C188" i="2" s="1"/>
  <c r="F142" i="2"/>
  <c r="E144" i="2"/>
  <c r="E145" i="2"/>
  <c r="E172" i="2"/>
  <c r="C305" i="2"/>
  <c r="C276" i="2"/>
  <c r="C248" i="2"/>
  <c r="C164" i="2"/>
  <c r="C191" i="2" s="1"/>
  <c r="C220" i="2"/>
  <c r="F169" i="2"/>
  <c r="F199" i="2"/>
  <c r="E173" i="2"/>
  <c r="E171" i="2"/>
  <c r="E200" i="2"/>
  <c r="E203" i="2" s="1"/>
  <c r="E228" i="2"/>
  <c r="E229" i="2"/>
  <c r="E230" i="2"/>
  <c r="F226" i="2"/>
  <c r="G282" i="2"/>
  <c r="F254" i="2"/>
  <c r="E258" i="2"/>
  <c r="E257" i="2"/>
  <c r="E285" i="2"/>
  <c r="E286" i="2"/>
  <c r="F575" i="2"/>
  <c r="F577" i="2"/>
  <c r="G197" i="2" l="1"/>
  <c r="F201" i="2"/>
  <c r="F286" i="2"/>
  <c r="F284" i="2"/>
  <c r="D9" i="2"/>
  <c r="E11" i="2" s="1"/>
  <c r="N76" i="1" s="1"/>
  <c r="D221" i="2"/>
  <c r="D207" i="2" s="1"/>
  <c r="E232" i="2"/>
  <c r="E237" i="2" s="1"/>
  <c r="G77" i="2"/>
  <c r="E493" i="2" s="1"/>
  <c r="N77" i="2"/>
  <c r="E500" i="2" s="1"/>
  <c r="E574" i="2"/>
  <c r="D165" i="2"/>
  <c r="D152" i="2" s="1"/>
  <c r="E578" i="2"/>
  <c r="D277" i="2"/>
  <c r="D264" i="2" s="1"/>
  <c r="K77" i="2"/>
  <c r="E497" i="2" s="1"/>
  <c r="J77" i="2"/>
  <c r="E496" i="2" s="1"/>
  <c r="O77" i="2"/>
  <c r="E501" i="2" s="1"/>
  <c r="E288" i="2"/>
  <c r="E293" i="2" s="1"/>
  <c r="E260" i="2"/>
  <c r="E265" i="2" s="1"/>
  <c r="F145" i="2"/>
  <c r="F144" i="2"/>
  <c r="G142" i="2"/>
  <c r="F146" i="2"/>
  <c r="O84" i="2"/>
  <c r="M84" i="2"/>
  <c r="J84" i="2"/>
  <c r="D10" i="2"/>
  <c r="P78" i="1" s="1"/>
  <c r="E77" i="2"/>
  <c r="O93" i="2"/>
  <c r="M93" i="2"/>
  <c r="E208" i="2"/>
  <c r="E175" i="2"/>
  <c r="E180" i="2" s="1"/>
  <c r="F203" i="2"/>
  <c r="F208" i="2" s="1"/>
  <c r="F100" i="2"/>
  <c r="G98" i="2"/>
  <c r="E108" i="2" s="1"/>
  <c r="E109" i="2" s="1"/>
  <c r="F101" i="2"/>
  <c r="F102" i="2"/>
  <c r="F77" i="2"/>
  <c r="E492" i="2" s="1"/>
  <c r="N84" i="2"/>
  <c r="F93" i="2"/>
  <c r="L77" i="2"/>
  <c r="E498" i="2" s="1"/>
  <c r="D109" i="2"/>
  <c r="F258" i="2"/>
  <c r="G254" i="2"/>
  <c r="F256" i="2"/>
  <c r="F257" i="2"/>
  <c r="G200" i="2"/>
  <c r="G201" i="2"/>
  <c r="H197" i="2"/>
  <c r="G199" i="2"/>
  <c r="G84" i="2"/>
  <c r="H84" i="2"/>
  <c r="E84" i="2"/>
  <c r="M77" i="2"/>
  <c r="E499" i="2" s="1"/>
  <c r="J93" i="2"/>
  <c r="G93" i="2"/>
  <c r="H93" i="2"/>
  <c r="E93" i="2"/>
  <c r="H77" i="2"/>
  <c r="E494" i="2" s="1"/>
  <c r="C579" i="2"/>
  <c r="C577" i="2"/>
  <c r="E243" i="2" s="1"/>
  <c r="C575" i="2"/>
  <c r="E186" i="2" s="1"/>
  <c r="D187" i="2" s="1"/>
  <c r="D171" i="2" s="1"/>
  <c r="D573" i="2"/>
  <c r="E573" i="2" s="1"/>
  <c r="G573" i="2" s="1"/>
  <c r="C578" i="2"/>
  <c r="C576" i="2"/>
  <c r="C574" i="2"/>
  <c r="E123" i="2"/>
  <c r="E577" i="2"/>
  <c r="D249" i="2"/>
  <c r="D236" i="2" s="1"/>
  <c r="E575" i="2"/>
  <c r="D192" i="2"/>
  <c r="D179" i="2" s="1"/>
  <c r="G284" i="2"/>
  <c r="H282" i="2"/>
  <c r="G285" i="2"/>
  <c r="G286" i="2"/>
  <c r="F229" i="2"/>
  <c r="F230" i="2"/>
  <c r="G226" i="2"/>
  <c r="F228" i="2"/>
  <c r="F172" i="2"/>
  <c r="F173" i="2"/>
  <c r="G169" i="2"/>
  <c r="F171" i="2"/>
  <c r="E148" i="2"/>
  <c r="E153" i="2" s="1"/>
  <c r="K84" i="2"/>
  <c r="L84" i="2"/>
  <c r="I84" i="2"/>
  <c r="F84" i="2"/>
  <c r="G16" i="1"/>
  <c r="I77" i="2"/>
  <c r="E495" i="2" s="1"/>
  <c r="N93" i="2"/>
  <c r="K93" i="2"/>
  <c r="L93" i="2"/>
  <c r="I93" i="2"/>
  <c r="F288" i="2" l="1"/>
  <c r="F293" i="2" s="1"/>
  <c r="E12" i="2"/>
  <c r="G15" i="1"/>
  <c r="H16" i="1" s="1"/>
  <c r="E9" i="2"/>
  <c r="H15" i="1" s="1"/>
  <c r="D577" i="2"/>
  <c r="D248" i="2" s="1"/>
  <c r="D232" i="2" s="1"/>
  <c r="E10" i="2"/>
  <c r="N75" i="1" s="1"/>
  <c r="F175" i="2"/>
  <c r="F180" i="2" s="1"/>
  <c r="F260" i="2"/>
  <c r="F265" i="2" s="1"/>
  <c r="F232" i="2"/>
  <c r="F237" i="2" s="1"/>
  <c r="D575" i="2"/>
  <c r="D191" i="2" s="1"/>
  <c r="D175" i="2" s="1"/>
  <c r="H201" i="2"/>
  <c r="I197" i="2"/>
  <c r="H199" i="2"/>
  <c r="H200" i="2"/>
  <c r="G230" i="2"/>
  <c r="H226" i="2"/>
  <c r="G228" i="2"/>
  <c r="G229" i="2"/>
  <c r="E159" i="2"/>
  <c r="D574" i="2"/>
  <c r="D164" i="2" s="1"/>
  <c r="D148" i="2" s="1"/>
  <c r="D186" i="2"/>
  <c r="D188" i="2"/>
  <c r="D173" i="2" s="1"/>
  <c r="D190" i="2"/>
  <c r="D189" i="2"/>
  <c r="D94" i="2"/>
  <c r="D95" i="2" s="1"/>
  <c r="F11" i="2" s="1"/>
  <c r="O76" i="1" s="1"/>
  <c r="H98" i="2"/>
  <c r="F108" i="2" s="1"/>
  <c r="F109" i="2" s="1"/>
  <c r="G101" i="2"/>
  <c r="G102" i="2"/>
  <c r="G100" i="2"/>
  <c r="E491" i="2"/>
  <c r="E511" i="2" s="1"/>
  <c r="E512" i="2" s="1"/>
  <c r="E513" i="2" s="1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D78" i="2"/>
  <c r="G171" i="2"/>
  <c r="G173" i="2"/>
  <c r="G172" i="2"/>
  <c r="H169" i="2"/>
  <c r="H284" i="2"/>
  <c r="I282" i="2"/>
  <c r="H285" i="2"/>
  <c r="H286" i="2"/>
  <c r="E215" i="2"/>
  <c r="D576" i="2"/>
  <c r="D220" i="2" s="1"/>
  <c r="D203" i="2" s="1"/>
  <c r="D243" i="2"/>
  <c r="D246" i="2"/>
  <c r="D247" i="2"/>
  <c r="D245" i="2"/>
  <c r="D230" i="2" s="1"/>
  <c r="D85" i="2"/>
  <c r="D86" i="2" s="1"/>
  <c r="F10" i="2" s="1"/>
  <c r="O75" i="1" s="1"/>
  <c r="G256" i="2"/>
  <c r="G257" i="2"/>
  <c r="G258" i="2"/>
  <c r="H254" i="2"/>
  <c r="F490" i="2"/>
  <c r="F510" i="2" s="1"/>
  <c r="F531" i="2" s="1"/>
  <c r="D244" i="2"/>
  <c r="D228" i="2" s="1"/>
  <c r="G146" i="2"/>
  <c r="G145" i="2"/>
  <c r="G144" i="2"/>
  <c r="H142" i="2"/>
  <c r="G288" i="2"/>
  <c r="G293" i="2" s="1"/>
  <c r="L491" i="2" s="1"/>
  <c r="E271" i="2"/>
  <c r="D578" i="2"/>
  <c r="D276" i="2" s="1"/>
  <c r="D260" i="2" s="1"/>
  <c r="D579" i="2"/>
  <c r="D305" i="2" s="1"/>
  <c r="D288" i="2" s="1"/>
  <c r="E300" i="2"/>
  <c r="G203" i="2"/>
  <c r="G208" i="2" s="1"/>
  <c r="F148" i="2"/>
  <c r="F153" i="2" s="1"/>
  <c r="I491" i="2"/>
  <c r="D79" i="2" l="1"/>
  <c r="F9" i="2" s="1"/>
  <c r="I15" i="1" s="1"/>
  <c r="G232" i="2"/>
  <c r="G237" i="2" s="1"/>
  <c r="H288" i="2"/>
  <c r="H293" i="2" s="1"/>
  <c r="D172" i="2"/>
  <c r="D180" i="2" s="1"/>
  <c r="G260" i="2"/>
  <c r="G265" i="2" s="1"/>
  <c r="G148" i="2"/>
  <c r="G153" i="2" s="1"/>
  <c r="D271" i="2"/>
  <c r="D273" i="2"/>
  <c r="D258" i="2" s="1"/>
  <c r="D275" i="2"/>
  <c r="D274" i="2"/>
  <c r="D272" i="2"/>
  <c r="D256" i="2" s="1"/>
  <c r="I285" i="2"/>
  <c r="I286" i="2"/>
  <c r="I284" i="2"/>
  <c r="J282" i="2"/>
  <c r="I199" i="2"/>
  <c r="I200" i="2"/>
  <c r="J197" i="2"/>
  <c r="I201" i="2"/>
  <c r="D300" i="2"/>
  <c r="D302" i="2"/>
  <c r="D286" i="2" s="1"/>
  <c r="D303" i="2"/>
  <c r="D304" i="2"/>
  <c r="D301" i="2"/>
  <c r="D284" i="2" s="1"/>
  <c r="D215" i="2"/>
  <c r="D218" i="2"/>
  <c r="D217" i="2"/>
  <c r="D201" i="2" s="1"/>
  <c r="D219" i="2"/>
  <c r="D216" i="2"/>
  <c r="D199" i="2" s="1"/>
  <c r="H145" i="2"/>
  <c r="H144" i="2"/>
  <c r="I142" i="2"/>
  <c r="H146" i="2"/>
  <c r="H256" i="2"/>
  <c r="H257" i="2"/>
  <c r="H258" i="2"/>
  <c r="I254" i="2"/>
  <c r="D229" i="2"/>
  <c r="D237" i="2" s="1"/>
  <c r="G175" i="2"/>
  <c r="G180" i="2" s="1"/>
  <c r="H101" i="2"/>
  <c r="H102" i="2"/>
  <c r="H100" i="2"/>
  <c r="I98" i="2"/>
  <c r="G108" i="2" s="1"/>
  <c r="G109" i="2" s="1"/>
  <c r="F491" i="2" s="1"/>
  <c r="F511" i="2" s="1"/>
  <c r="F532" i="2" s="1"/>
  <c r="H172" i="2"/>
  <c r="I169" i="2"/>
  <c r="H171" i="2"/>
  <c r="H173" i="2"/>
  <c r="D159" i="2"/>
  <c r="D162" i="2"/>
  <c r="D161" i="2"/>
  <c r="D146" i="2" s="1"/>
  <c r="D163" i="2"/>
  <c r="D160" i="2"/>
  <c r="D144" i="2" s="1"/>
  <c r="H228" i="2"/>
  <c r="H229" i="2"/>
  <c r="I226" i="2"/>
  <c r="H230" i="2"/>
  <c r="H203" i="2"/>
  <c r="H208" i="2" s="1"/>
  <c r="G491" i="2"/>
  <c r="H491" i="2"/>
  <c r="K491" i="2"/>
  <c r="H490" i="2"/>
  <c r="J490" i="2"/>
  <c r="J491" i="2"/>
  <c r="G10" i="2" l="1"/>
  <c r="P75" i="1" s="1"/>
  <c r="G9" i="2"/>
  <c r="J15" i="1" s="1"/>
  <c r="G11" i="2"/>
  <c r="P76" i="1" s="1"/>
  <c r="H260" i="2"/>
  <c r="H265" i="2" s="1"/>
  <c r="H175" i="2"/>
  <c r="H180" i="2" s="1"/>
  <c r="H510" i="2"/>
  <c r="H531" i="2" s="1"/>
  <c r="I288" i="2"/>
  <c r="I203" i="2"/>
  <c r="I208" i="2" s="1"/>
  <c r="J510" i="2"/>
  <c r="D145" i="2"/>
  <c r="D153" i="2" s="1"/>
  <c r="I145" i="2"/>
  <c r="I144" i="2"/>
  <c r="J142" i="2"/>
  <c r="I146" i="2"/>
  <c r="D200" i="2"/>
  <c r="D208" i="2" s="1"/>
  <c r="D285" i="2"/>
  <c r="D293" i="2" s="1"/>
  <c r="J199" i="2"/>
  <c r="J200" i="2"/>
  <c r="J201" i="2"/>
  <c r="K197" i="2"/>
  <c r="I228" i="2"/>
  <c r="I229" i="2"/>
  <c r="I230" i="2"/>
  <c r="J226" i="2"/>
  <c r="I102" i="2"/>
  <c r="I100" i="2"/>
  <c r="J98" i="2"/>
  <c r="H108" i="2" s="1"/>
  <c r="H109" i="2" s="1"/>
  <c r="I101" i="2"/>
  <c r="H148" i="2"/>
  <c r="H153" i="2" s="1"/>
  <c r="J286" i="2"/>
  <c r="J284" i="2"/>
  <c r="K282" i="2"/>
  <c r="J285" i="2"/>
  <c r="I173" i="2"/>
  <c r="I171" i="2"/>
  <c r="I172" i="2"/>
  <c r="J169" i="2"/>
  <c r="I257" i="2"/>
  <c r="I258" i="2"/>
  <c r="J254" i="2"/>
  <c r="I256" i="2"/>
  <c r="H232" i="2"/>
  <c r="H237" i="2" s="1"/>
  <c r="I293" i="2"/>
  <c r="L492" i="2" s="1"/>
  <c r="D257" i="2"/>
  <c r="D265" i="2" s="1"/>
  <c r="I490" i="2"/>
  <c r="G490" i="2"/>
  <c r="K490" i="2"/>
  <c r="I492" i="2"/>
  <c r="H511" i="2" l="1"/>
  <c r="H532" i="2" s="1"/>
  <c r="J288" i="2"/>
  <c r="J293" i="2" s="1"/>
  <c r="I260" i="2"/>
  <c r="I265" i="2" s="1"/>
  <c r="J203" i="2"/>
  <c r="J208" i="2" s="1"/>
  <c r="K510" i="2"/>
  <c r="I510" i="2"/>
  <c r="G510" i="2"/>
  <c r="J229" i="2"/>
  <c r="J230" i="2"/>
  <c r="K226" i="2"/>
  <c r="J228" i="2"/>
  <c r="I148" i="2"/>
  <c r="I153" i="2" s="1"/>
  <c r="J258" i="2"/>
  <c r="K254" i="2"/>
  <c r="J256" i="2"/>
  <c r="J257" i="2"/>
  <c r="K200" i="2"/>
  <c r="K201" i="2"/>
  <c r="L197" i="2"/>
  <c r="K199" i="2"/>
  <c r="J172" i="2"/>
  <c r="J171" i="2"/>
  <c r="J173" i="2"/>
  <c r="K169" i="2"/>
  <c r="L490" i="2"/>
  <c r="L510" i="2" s="1"/>
  <c r="I175" i="2"/>
  <c r="I180" i="2" s="1"/>
  <c r="K284" i="2"/>
  <c r="L282" i="2"/>
  <c r="K285" i="2"/>
  <c r="K286" i="2"/>
  <c r="J100" i="2"/>
  <c r="K98" i="2"/>
  <c r="I108" i="2" s="1"/>
  <c r="I109" i="2" s="1"/>
  <c r="F492" i="2" s="1"/>
  <c r="F512" i="2" s="1"/>
  <c r="F533" i="2" s="1"/>
  <c r="J101" i="2"/>
  <c r="J102" i="2"/>
  <c r="I232" i="2"/>
  <c r="I237" i="2" s="1"/>
  <c r="J145" i="2"/>
  <c r="J144" i="2"/>
  <c r="K142" i="2"/>
  <c r="J146" i="2"/>
  <c r="J531" i="2"/>
  <c r="J511" i="2"/>
  <c r="J532" i="2" s="1"/>
  <c r="G492" i="2"/>
  <c r="J492" i="2"/>
  <c r="K492" i="2"/>
  <c r="H492" i="2"/>
  <c r="J232" i="2" l="1"/>
  <c r="J237" i="2" s="1"/>
  <c r="K203" i="2"/>
  <c r="K208" i="2" s="1"/>
  <c r="J512" i="2"/>
  <c r="J533" i="2" s="1"/>
  <c r="H512" i="2"/>
  <c r="H533" i="2" s="1"/>
  <c r="K288" i="2"/>
  <c r="K293" i="2" s="1"/>
  <c r="J175" i="2"/>
  <c r="K256" i="2"/>
  <c r="K257" i="2"/>
  <c r="K258" i="2"/>
  <c r="L254" i="2"/>
  <c r="I531" i="2"/>
  <c r="I511" i="2"/>
  <c r="K146" i="2"/>
  <c r="K145" i="2"/>
  <c r="K144" i="2"/>
  <c r="L142" i="2"/>
  <c r="L98" i="2"/>
  <c r="J108" i="2" s="1"/>
  <c r="J109" i="2" s="1"/>
  <c r="K101" i="2"/>
  <c r="K102" i="2"/>
  <c r="K100" i="2"/>
  <c r="J148" i="2"/>
  <c r="J153" i="2" s="1"/>
  <c r="K171" i="2"/>
  <c r="K173" i="2"/>
  <c r="L169" i="2"/>
  <c r="K172" i="2"/>
  <c r="J180" i="2"/>
  <c r="L201" i="2"/>
  <c r="M197" i="2"/>
  <c r="L199" i="2"/>
  <c r="L200" i="2"/>
  <c r="K230" i="2"/>
  <c r="L226" i="2"/>
  <c r="K228" i="2"/>
  <c r="K229" i="2"/>
  <c r="L284" i="2"/>
  <c r="M282" i="2"/>
  <c r="L285" i="2"/>
  <c r="L286" i="2"/>
  <c r="L531" i="2"/>
  <c r="L511" i="2"/>
  <c r="J260" i="2"/>
  <c r="J265" i="2" s="1"/>
  <c r="G531" i="2"/>
  <c r="G511" i="2"/>
  <c r="G532" i="2" s="1"/>
  <c r="K531" i="2"/>
  <c r="K511" i="2"/>
  <c r="K532" i="2" s="1"/>
  <c r="I493" i="2"/>
  <c r="K232" i="2" l="1"/>
  <c r="K237" i="2" s="1"/>
  <c r="L288" i="2"/>
  <c r="L293" i="2" s="1"/>
  <c r="K260" i="2"/>
  <c r="K265" i="2" s="1"/>
  <c r="L203" i="2"/>
  <c r="L208" i="2" s="1"/>
  <c r="K175" i="2"/>
  <c r="K180" i="2" s="1"/>
  <c r="L101" i="2"/>
  <c r="L102" i="2"/>
  <c r="L100" i="2"/>
  <c r="M98" i="2"/>
  <c r="K108" i="2" s="1"/>
  <c r="K109" i="2" s="1"/>
  <c r="F493" i="2" s="1"/>
  <c r="F513" i="2" s="1"/>
  <c r="F534" i="2" s="1"/>
  <c r="L256" i="2"/>
  <c r="L257" i="2"/>
  <c r="L258" i="2"/>
  <c r="M254" i="2"/>
  <c r="L228" i="2"/>
  <c r="L229" i="2"/>
  <c r="L230" i="2"/>
  <c r="M226" i="2"/>
  <c r="M199" i="2"/>
  <c r="M200" i="2"/>
  <c r="N197" i="2"/>
  <c r="M201" i="2"/>
  <c r="L145" i="2"/>
  <c r="L144" i="2"/>
  <c r="M142" i="2"/>
  <c r="L146" i="2"/>
  <c r="G512" i="2"/>
  <c r="G533" i="2" s="1"/>
  <c r="L532" i="2"/>
  <c r="L512" i="2"/>
  <c r="L533" i="2" s="1"/>
  <c r="M285" i="2"/>
  <c r="M286" i="2"/>
  <c r="M284" i="2"/>
  <c r="N282" i="2"/>
  <c r="L172" i="2"/>
  <c r="L171" i="2"/>
  <c r="M169" i="2"/>
  <c r="L173" i="2"/>
  <c r="K148" i="2"/>
  <c r="K153" i="2" s="1"/>
  <c r="I532" i="2"/>
  <c r="I512" i="2"/>
  <c r="L493" i="2"/>
  <c r="K512" i="2"/>
  <c r="K533" i="2" s="1"/>
  <c r="J493" i="2"/>
  <c r="H493" i="2"/>
  <c r="K493" i="2"/>
  <c r="G493" i="2"/>
  <c r="L513" i="2" l="1"/>
  <c r="L534" i="2" s="1"/>
  <c r="L175" i="2"/>
  <c r="L180" i="2" s="1"/>
  <c r="G513" i="2"/>
  <c r="G534" i="2" s="1"/>
  <c r="H513" i="2"/>
  <c r="H534" i="2" s="1"/>
  <c r="K513" i="2"/>
  <c r="K534" i="2" s="1"/>
  <c r="J513" i="2"/>
  <c r="J534" i="2" s="1"/>
  <c r="M145" i="2"/>
  <c r="M144" i="2"/>
  <c r="N142" i="2"/>
  <c r="M146" i="2"/>
  <c r="M203" i="2"/>
  <c r="M208" i="2" s="1"/>
  <c r="L260" i="2"/>
  <c r="L265" i="2" s="1"/>
  <c r="I533" i="2"/>
  <c r="I513" i="2"/>
  <c r="I534" i="2" s="1"/>
  <c r="N286" i="2"/>
  <c r="N284" i="2"/>
  <c r="O282" i="2"/>
  <c r="N285" i="2"/>
  <c r="L148" i="2"/>
  <c r="L153" i="2" s="1"/>
  <c r="L232" i="2"/>
  <c r="L237" i="2" s="1"/>
  <c r="M257" i="2"/>
  <c r="M258" i="2"/>
  <c r="N254" i="2"/>
  <c r="M256" i="2"/>
  <c r="M173" i="2"/>
  <c r="M171" i="2"/>
  <c r="M172" i="2"/>
  <c r="N169" i="2"/>
  <c r="M288" i="2"/>
  <c r="M293" i="2" s="1"/>
  <c r="N199" i="2"/>
  <c r="N200" i="2"/>
  <c r="N201" i="2"/>
  <c r="O197" i="2"/>
  <c r="M228" i="2"/>
  <c r="M229" i="2"/>
  <c r="M230" i="2"/>
  <c r="N226" i="2"/>
  <c r="M102" i="2"/>
  <c r="M100" i="2"/>
  <c r="N98" i="2"/>
  <c r="L108" i="2" s="1"/>
  <c r="L109" i="2" s="1"/>
  <c r="M101" i="2"/>
  <c r="I494" i="2"/>
  <c r="N288" i="2" l="1"/>
  <c r="N293" i="2" s="1"/>
  <c r="M232" i="2"/>
  <c r="M237" i="2" s="1"/>
  <c r="I514" i="2"/>
  <c r="I535" i="2" s="1"/>
  <c r="L494" i="2"/>
  <c r="L514" i="2" s="1"/>
  <c r="L535" i="2" s="1"/>
  <c r="O200" i="2"/>
  <c r="O201" i="2"/>
  <c r="P197" i="2"/>
  <c r="O199" i="2"/>
  <c r="M175" i="2"/>
  <c r="M180" i="2" s="1"/>
  <c r="M260" i="2"/>
  <c r="M265" i="2" s="1"/>
  <c r="O284" i="2"/>
  <c r="P282" i="2"/>
  <c r="O285" i="2"/>
  <c r="O286" i="2"/>
  <c r="N100" i="2"/>
  <c r="O98" i="2"/>
  <c r="M108" i="2" s="1"/>
  <c r="M109" i="2" s="1"/>
  <c r="F494" i="2" s="1"/>
  <c r="F514" i="2" s="1"/>
  <c r="F535" i="2" s="1"/>
  <c r="N101" i="2"/>
  <c r="N102" i="2"/>
  <c r="N172" i="2"/>
  <c r="N173" i="2"/>
  <c r="O169" i="2"/>
  <c r="N171" i="2"/>
  <c r="N258" i="2"/>
  <c r="O254" i="2"/>
  <c r="N256" i="2"/>
  <c r="N257" i="2"/>
  <c r="N145" i="2"/>
  <c r="N144" i="2"/>
  <c r="O142" i="2"/>
  <c r="N146" i="2"/>
  <c r="N229" i="2"/>
  <c r="N230" i="2"/>
  <c r="O226" i="2"/>
  <c r="N228" i="2"/>
  <c r="N203" i="2"/>
  <c r="N208" i="2" s="1"/>
  <c r="M148" i="2"/>
  <c r="M153" i="2" s="1"/>
  <c r="H494" i="2"/>
  <c r="G494" i="2"/>
  <c r="J494" i="2"/>
  <c r="K494" i="2"/>
  <c r="N232" i="2" l="1"/>
  <c r="N237" i="2" s="1"/>
  <c r="G514" i="2"/>
  <c r="G535" i="2" s="1"/>
  <c r="H514" i="2"/>
  <c r="H535" i="2" s="1"/>
  <c r="K514" i="2"/>
  <c r="K535" i="2" s="1"/>
  <c r="J514" i="2"/>
  <c r="J535" i="2" s="1"/>
  <c r="O146" i="2"/>
  <c r="O145" i="2"/>
  <c r="O144" i="2"/>
  <c r="P142" i="2"/>
  <c r="O256" i="2"/>
  <c r="O257" i="2"/>
  <c r="P254" i="2"/>
  <c r="O258" i="2"/>
  <c r="O171" i="2"/>
  <c r="O173" i="2"/>
  <c r="O172" i="2"/>
  <c r="P169" i="2"/>
  <c r="O288" i="2"/>
  <c r="O293" i="2" s="1"/>
  <c r="L495" i="2" s="1"/>
  <c r="L515" i="2" s="1"/>
  <c r="L536" i="2" s="1"/>
  <c r="P201" i="2"/>
  <c r="Q197" i="2"/>
  <c r="P199" i="2"/>
  <c r="P200" i="2"/>
  <c r="N148" i="2"/>
  <c r="N153" i="2" s="1"/>
  <c r="O230" i="2"/>
  <c r="P226" i="2"/>
  <c r="O228" i="2"/>
  <c r="O229" i="2"/>
  <c r="P98" i="2"/>
  <c r="N108" i="2" s="1"/>
  <c r="N109" i="2" s="1"/>
  <c r="O101" i="2"/>
  <c r="O102" i="2"/>
  <c r="O100" i="2"/>
  <c r="O203" i="2"/>
  <c r="O208" i="2" s="1"/>
  <c r="N260" i="2"/>
  <c r="N265" i="2" s="1"/>
  <c r="N175" i="2"/>
  <c r="N180" i="2" s="1"/>
  <c r="P284" i="2"/>
  <c r="Q282" i="2"/>
  <c r="P285" i="2"/>
  <c r="P286" i="2"/>
  <c r="I495" i="2"/>
  <c r="O260" i="2" l="1"/>
  <c r="O265" i="2" s="1"/>
  <c r="I515" i="2"/>
  <c r="I536" i="2" s="1"/>
  <c r="P203" i="2"/>
  <c r="P208" i="2" s="1"/>
  <c r="O175" i="2"/>
  <c r="O180" i="2" s="1"/>
  <c r="O148" i="2"/>
  <c r="O153" i="2" s="1"/>
  <c r="Q285" i="2"/>
  <c r="Q286" i="2"/>
  <c r="R282" i="2"/>
  <c r="Q284" i="2"/>
  <c r="P101" i="2"/>
  <c r="P102" i="2"/>
  <c r="P100" i="2"/>
  <c r="Q98" i="2"/>
  <c r="O108" i="2" s="1"/>
  <c r="O109" i="2" s="1"/>
  <c r="F495" i="2" s="1"/>
  <c r="F515" i="2" s="1"/>
  <c r="F536" i="2" s="1"/>
  <c r="P228" i="2"/>
  <c r="P229" i="2"/>
  <c r="P230" i="2"/>
  <c r="Q226" i="2"/>
  <c r="Q199" i="2"/>
  <c r="Q200" i="2"/>
  <c r="R197" i="2"/>
  <c r="Q201" i="2"/>
  <c r="P172" i="2"/>
  <c r="Q169" i="2"/>
  <c r="P171" i="2"/>
  <c r="P173" i="2"/>
  <c r="P288" i="2"/>
  <c r="P293" i="2" s="1"/>
  <c r="O232" i="2"/>
  <c r="O237" i="2" s="1"/>
  <c r="P256" i="2"/>
  <c r="P257" i="2"/>
  <c r="P258" i="2"/>
  <c r="Q254" i="2"/>
  <c r="P145" i="2"/>
  <c r="P144" i="2"/>
  <c r="Q142" i="2"/>
  <c r="P146" i="2"/>
  <c r="G495" i="2"/>
  <c r="J495" i="2"/>
  <c r="K495" i="2"/>
  <c r="H495" i="2"/>
  <c r="Q203" i="2" l="1"/>
  <c r="Q208" i="2" s="1"/>
  <c r="Q288" i="2"/>
  <c r="Q293" i="2" s="1"/>
  <c r="L496" i="2" s="1"/>
  <c r="L516" i="2" s="1"/>
  <c r="L537" i="2" s="1"/>
  <c r="J515" i="2"/>
  <c r="J536" i="2" s="1"/>
  <c r="G515" i="2"/>
  <c r="G536" i="2" s="1"/>
  <c r="H515" i="2"/>
  <c r="H536" i="2" s="1"/>
  <c r="K515" i="2"/>
  <c r="K536" i="2" s="1"/>
  <c r="P175" i="2"/>
  <c r="P180" i="2" s="1"/>
  <c r="P232" i="2"/>
  <c r="P237" i="2" s="1"/>
  <c r="R286" i="2"/>
  <c r="R284" i="2"/>
  <c r="S282" i="2"/>
  <c r="R285" i="2"/>
  <c r="P260" i="2"/>
  <c r="P265" i="2" s="1"/>
  <c r="R199" i="2"/>
  <c r="R200" i="2"/>
  <c r="R201" i="2"/>
  <c r="S197" i="2"/>
  <c r="Q228" i="2"/>
  <c r="Q229" i="2"/>
  <c r="Q230" i="2"/>
  <c r="R226" i="2"/>
  <c r="Q145" i="2"/>
  <c r="Q144" i="2"/>
  <c r="R142" i="2"/>
  <c r="Q146" i="2"/>
  <c r="P148" i="2"/>
  <c r="P153" i="2" s="1"/>
  <c r="Q257" i="2"/>
  <c r="Q258" i="2"/>
  <c r="R254" i="2"/>
  <c r="Q256" i="2"/>
  <c r="Q173" i="2"/>
  <c r="Q171" i="2"/>
  <c r="Q172" i="2"/>
  <c r="R169" i="2"/>
  <c r="Q102" i="2"/>
  <c r="Q100" i="2"/>
  <c r="R98" i="2"/>
  <c r="P108" i="2" s="1"/>
  <c r="P109" i="2" s="1"/>
  <c r="Q101" i="2"/>
  <c r="I496" i="2"/>
  <c r="Q260" i="2" l="1"/>
  <c r="Q265" i="2" s="1"/>
  <c r="I516" i="2"/>
  <c r="I537" i="2" s="1"/>
  <c r="Q175" i="2"/>
  <c r="Q180" i="2" s="1"/>
  <c r="R258" i="2"/>
  <c r="S254" i="2"/>
  <c r="R256" i="2"/>
  <c r="R257" i="2"/>
  <c r="Q232" i="2"/>
  <c r="Q237" i="2" s="1"/>
  <c r="R100" i="2"/>
  <c r="S98" i="2"/>
  <c r="Q108" i="2" s="1"/>
  <c r="Q109" i="2" s="1"/>
  <c r="F496" i="2" s="1"/>
  <c r="F516" i="2" s="1"/>
  <c r="F537" i="2" s="1"/>
  <c r="R101" i="2"/>
  <c r="R102" i="2"/>
  <c r="R172" i="2"/>
  <c r="R171" i="2"/>
  <c r="R173" i="2"/>
  <c r="S169" i="2"/>
  <c r="R145" i="2"/>
  <c r="R144" i="2"/>
  <c r="S142" i="2"/>
  <c r="R146" i="2"/>
  <c r="R229" i="2"/>
  <c r="R230" i="2"/>
  <c r="S226" i="2"/>
  <c r="R228" i="2"/>
  <c r="R203" i="2"/>
  <c r="R208" i="2" s="1"/>
  <c r="S284" i="2"/>
  <c r="T282" i="2"/>
  <c r="S285" i="2"/>
  <c r="S286" i="2"/>
  <c r="Q148" i="2"/>
  <c r="Q153" i="2" s="1"/>
  <c r="S200" i="2"/>
  <c r="S201" i="2"/>
  <c r="T197" i="2"/>
  <c r="S199" i="2"/>
  <c r="R288" i="2"/>
  <c r="R293" i="2" s="1"/>
  <c r="H496" i="2"/>
  <c r="J496" i="2"/>
  <c r="K496" i="2"/>
  <c r="G496" i="2"/>
  <c r="R175" i="2" l="1"/>
  <c r="R180" i="2" s="1"/>
  <c r="R260" i="2"/>
  <c r="R265" i="2" s="1"/>
  <c r="S288" i="2"/>
  <c r="S293" i="2" s="1"/>
  <c r="L497" i="2" s="1"/>
  <c r="L517" i="2" s="1"/>
  <c r="L538" i="2" s="1"/>
  <c r="R232" i="2"/>
  <c r="R237" i="2" s="1"/>
  <c r="G516" i="2"/>
  <c r="G537" i="2" s="1"/>
  <c r="H516" i="2"/>
  <c r="H537" i="2" s="1"/>
  <c r="K516" i="2"/>
  <c r="K537" i="2" s="1"/>
  <c r="J516" i="2"/>
  <c r="J537" i="2" s="1"/>
  <c r="T98" i="2"/>
  <c r="R108" i="2" s="1"/>
  <c r="R109" i="2" s="1"/>
  <c r="S101" i="2"/>
  <c r="S102" i="2"/>
  <c r="S100" i="2"/>
  <c r="S203" i="2"/>
  <c r="S208" i="2" s="1"/>
  <c r="S230" i="2"/>
  <c r="T226" i="2"/>
  <c r="S228" i="2"/>
  <c r="S229" i="2"/>
  <c r="S146" i="2"/>
  <c r="S145" i="2"/>
  <c r="S144" i="2"/>
  <c r="T142" i="2"/>
  <c r="S171" i="2"/>
  <c r="S173" i="2"/>
  <c r="T169" i="2"/>
  <c r="S172" i="2"/>
  <c r="T201" i="2"/>
  <c r="U197" i="2"/>
  <c r="T199" i="2"/>
  <c r="T200" i="2"/>
  <c r="T284" i="2"/>
  <c r="U282" i="2"/>
  <c r="T285" i="2"/>
  <c r="T286" i="2"/>
  <c r="R148" i="2"/>
  <c r="R153" i="2" s="1"/>
  <c r="S256" i="2"/>
  <c r="S257" i="2"/>
  <c r="T254" i="2"/>
  <c r="S258" i="2"/>
  <c r="I497" i="2"/>
  <c r="T203" i="2" l="1"/>
  <c r="T208" i="2" s="1"/>
  <c r="S148" i="2"/>
  <c r="S153" i="2" s="1"/>
  <c r="I517" i="2"/>
  <c r="I538" i="2" s="1"/>
  <c r="S260" i="2"/>
  <c r="S265" i="2" s="1"/>
  <c r="S175" i="2"/>
  <c r="S180" i="2" s="1"/>
  <c r="S232" i="2"/>
  <c r="S237" i="2" s="1"/>
  <c r="U285" i="2"/>
  <c r="U286" i="2"/>
  <c r="U284" i="2"/>
  <c r="V282" i="2"/>
  <c r="T256" i="2"/>
  <c r="T257" i="2"/>
  <c r="T258" i="2"/>
  <c r="U254" i="2"/>
  <c r="T288" i="2"/>
  <c r="T293" i="2" s="1"/>
  <c r="U199" i="2"/>
  <c r="U200" i="2"/>
  <c r="U201" i="2"/>
  <c r="V197" i="2"/>
  <c r="T172" i="2"/>
  <c r="T171" i="2"/>
  <c r="U169" i="2"/>
  <c r="T173" i="2"/>
  <c r="T145" i="2"/>
  <c r="T144" i="2"/>
  <c r="U142" i="2"/>
  <c r="T146" i="2"/>
  <c r="T228" i="2"/>
  <c r="T229" i="2"/>
  <c r="U226" i="2"/>
  <c r="T230" i="2"/>
  <c r="T101" i="2"/>
  <c r="T102" i="2"/>
  <c r="T100" i="2"/>
  <c r="U98" i="2"/>
  <c r="S108" i="2" s="1"/>
  <c r="S109" i="2" s="1"/>
  <c r="F497" i="2" s="1"/>
  <c r="F517" i="2" s="1"/>
  <c r="F538" i="2" s="1"/>
  <c r="H497" i="2"/>
  <c r="J497" i="2"/>
  <c r="K497" i="2"/>
  <c r="G497" i="2"/>
  <c r="T232" i="2" l="1"/>
  <c r="U288" i="2"/>
  <c r="U293" i="2" s="1"/>
  <c r="L498" i="2" s="1"/>
  <c r="L518" i="2" s="1"/>
  <c r="L539" i="2" s="1"/>
  <c r="G517" i="2"/>
  <c r="G538" i="2" s="1"/>
  <c r="T148" i="2"/>
  <c r="T153" i="2" s="1"/>
  <c r="U203" i="2"/>
  <c r="U208" i="2" s="1"/>
  <c r="K517" i="2"/>
  <c r="K538" i="2" s="1"/>
  <c r="H517" i="2"/>
  <c r="H538" i="2" s="1"/>
  <c r="J517" i="2"/>
  <c r="J538" i="2" s="1"/>
  <c r="U102" i="2"/>
  <c r="U100" i="2"/>
  <c r="V98" i="2"/>
  <c r="T108" i="2" s="1"/>
  <c r="T109" i="2" s="1"/>
  <c r="U101" i="2"/>
  <c r="T237" i="2"/>
  <c r="T175" i="2"/>
  <c r="T180" i="2" s="1"/>
  <c r="U228" i="2"/>
  <c r="U229" i="2"/>
  <c r="U230" i="2"/>
  <c r="V226" i="2"/>
  <c r="U257" i="2"/>
  <c r="U258" i="2"/>
  <c r="V254" i="2"/>
  <c r="U256" i="2"/>
  <c r="T260" i="2"/>
  <c r="T265" i="2" s="1"/>
  <c r="U145" i="2"/>
  <c r="U144" i="2"/>
  <c r="V142" i="2"/>
  <c r="U146" i="2"/>
  <c r="V286" i="2"/>
  <c r="V284" i="2"/>
  <c r="W282" i="2"/>
  <c r="V285" i="2"/>
  <c r="U173" i="2"/>
  <c r="U171" i="2"/>
  <c r="U172" i="2"/>
  <c r="V169" i="2"/>
  <c r="V199" i="2"/>
  <c r="V200" i="2"/>
  <c r="V201" i="2"/>
  <c r="W197" i="2"/>
  <c r="I498" i="2"/>
  <c r="U260" i="2" l="1"/>
  <c r="U265" i="2" s="1"/>
  <c r="I518" i="2"/>
  <c r="I539" i="2" s="1"/>
  <c r="V288" i="2"/>
  <c r="V293" i="2" s="1"/>
  <c r="U148" i="2"/>
  <c r="U153" i="2" s="1"/>
  <c r="V203" i="2"/>
  <c r="V208" i="2" s="1"/>
  <c r="U175" i="2"/>
  <c r="U180" i="2" s="1"/>
  <c r="V258" i="2"/>
  <c r="W254" i="2"/>
  <c r="V256" i="2"/>
  <c r="V257" i="2"/>
  <c r="U232" i="2"/>
  <c r="U237" i="2" s="1"/>
  <c r="W200" i="2"/>
  <c r="W201" i="2"/>
  <c r="X197" i="2"/>
  <c r="W199" i="2"/>
  <c r="V229" i="2"/>
  <c r="V230" i="2"/>
  <c r="W226" i="2"/>
  <c r="V228" i="2"/>
  <c r="V100" i="2"/>
  <c r="W98" i="2"/>
  <c r="U108" i="2" s="1"/>
  <c r="U109" i="2" s="1"/>
  <c r="F498" i="2" s="1"/>
  <c r="F518" i="2" s="1"/>
  <c r="F539" i="2" s="1"/>
  <c r="V101" i="2"/>
  <c r="V102" i="2"/>
  <c r="V172" i="2"/>
  <c r="V173" i="2"/>
  <c r="W169" i="2"/>
  <c r="V171" i="2"/>
  <c r="W284" i="2"/>
  <c r="X282" i="2"/>
  <c r="W285" i="2"/>
  <c r="W286" i="2"/>
  <c r="V145" i="2"/>
  <c r="V144" i="2"/>
  <c r="W142" i="2"/>
  <c r="V146" i="2"/>
  <c r="K498" i="2"/>
  <c r="H498" i="2"/>
  <c r="J498" i="2"/>
  <c r="G498" i="2"/>
  <c r="W288" i="2" l="1"/>
  <c r="W293" i="2" s="1"/>
  <c r="L499" i="2" s="1"/>
  <c r="L519" i="2" s="1"/>
  <c r="L540" i="2" s="1"/>
  <c r="K518" i="2"/>
  <c r="K539" i="2" s="1"/>
  <c r="J518" i="2"/>
  <c r="J539" i="2" s="1"/>
  <c r="H518" i="2"/>
  <c r="H539" i="2" s="1"/>
  <c r="G518" i="2"/>
  <c r="G539" i="2" s="1"/>
  <c r="X284" i="2"/>
  <c r="Y282" i="2"/>
  <c r="X285" i="2"/>
  <c r="X286" i="2"/>
  <c r="W171" i="2"/>
  <c r="W173" i="2"/>
  <c r="W172" i="2"/>
  <c r="X169" i="2"/>
  <c r="W230" i="2"/>
  <c r="X226" i="2"/>
  <c r="W228" i="2"/>
  <c r="W229" i="2"/>
  <c r="X201" i="2"/>
  <c r="Y197" i="2"/>
  <c r="X199" i="2"/>
  <c r="X200" i="2"/>
  <c r="W146" i="2"/>
  <c r="W145" i="2"/>
  <c r="W144" i="2"/>
  <c r="X142" i="2"/>
  <c r="X98" i="2"/>
  <c r="V108" i="2" s="1"/>
  <c r="V109" i="2" s="1"/>
  <c r="W101" i="2"/>
  <c r="W102" i="2"/>
  <c r="W100" i="2"/>
  <c r="V260" i="2"/>
  <c r="V265" i="2" s="1"/>
  <c r="V148" i="2"/>
  <c r="V153" i="2" s="1"/>
  <c r="V175" i="2"/>
  <c r="V180" i="2" s="1"/>
  <c r="V232" i="2"/>
  <c r="V237" i="2" s="1"/>
  <c r="W203" i="2"/>
  <c r="W208" i="2" s="1"/>
  <c r="W256" i="2"/>
  <c r="W257" i="2"/>
  <c r="W258" i="2"/>
  <c r="X254" i="2"/>
  <c r="I499" i="2"/>
  <c r="W148" i="2" l="1"/>
  <c r="W153" i="2" s="1"/>
  <c r="W175" i="2"/>
  <c r="W180" i="2" s="1"/>
  <c r="I519" i="2"/>
  <c r="I540" i="2" s="1"/>
  <c r="X256" i="2"/>
  <c r="X257" i="2"/>
  <c r="X258" i="2"/>
  <c r="Y254" i="2"/>
  <c r="X101" i="2"/>
  <c r="X102" i="2"/>
  <c r="X100" i="2"/>
  <c r="Y98" i="2"/>
  <c r="W108" i="2" s="1"/>
  <c r="W109" i="2" s="1"/>
  <c r="F499" i="2" s="1"/>
  <c r="F519" i="2" s="1"/>
  <c r="F540" i="2" s="1"/>
  <c r="X203" i="2"/>
  <c r="X208" i="2" s="1"/>
  <c r="X228" i="2"/>
  <c r="X229" i="2"/>
  <c r="Y226" i="2"/>
  <c r="X230" i="2"/>
  <c r="Y199" i="2"/>
  <c r="Y200" i="2"/>
  <c r="Z197" i="2"/>
  <c r="Y201" i="2"/>
  <c r="Y285" i="2"/>
  <c r="Y286" i="2"/>
  <c r="Y284" i="2"/>
  <c r="Z282" i="2"/>
  <c r="X145" i="2"/>
  <c r="X144" i="2"/>
  <c r="Y142" i="2"/>
  <c r="X146" i="2"/>
  <c r="W232" i="2"/>
  <c r="W237" i="2" s="1"/>
  <c r="X172" i="2"/>
  <c r="Y169" i="2"/>
  <c r="X171" i="2"/>
  <c r="X173" i="2"/>
  <c r="X288" i="2"/>
  <c r="X293" i="2" s="1"/>
  <c r="W260" i="2"/>
  <c r="W265" i="2" s="1"/>
  <c r="H499" i="2"/>
  <c r="G499" i="2"/>
  <c r="J499" i="2"/>
  <c r="K499" i="2"/>
  <c r="X175" i="2" l="1"/>
  <c r="X180" i="2" s="1"/>
  <c r="Y288" i="2"/>
  <c r="Y293" i="2" s="1"/>
  <c r="L500" i="2" s="1"/>
  <c r="L520" i="2" s="1"/>
  <c r="L541" i="2" s="1"/>
  <c r="X148" i="2"/>
  <c r="X153" i="2" s="1"/>
  <c r="K519" i="2"/>
  <c r="K540" i="2" s="1"/>
  <c r="G519" i="2"/>
  <c r="G540" i="2" s="1"/>
  <c r="H519" i="2"/>
  <c r="H540" i="2" s="1"/>
  <c r="J519" i="2"/>
  <c r="J540" i="2" s="1"/>
  <c r="X232" i="2"/>
  <c r="X237" i="2" s="1"/>
  <c r="Y257" i="2"/>
  <c r="Y258" i="2"/>
  <c r="Z254" i="2"/>
  <c r="Y256" i="2"/>
  <c r="X260" i="2"/>
  <c r="X265" i="2" s="1"/>
  <c r="Z199" i="2"/>
  <c r="Z200" i="2"/>
  <c r="Z201" i="2"/>
  <c r="AA197" i="2"/>
  <c r="Y173" i="2"/>
  <c r="Y171" i="2"/>
  <c r="Z169" i="2"/>
  <c r="Y172" i="2"/>
  <c r="Y228" i="2"/>
  <c r="Y229" i="2"/>
  <c r="Y230" i="2"/>
  <c r="Z226" i="2"/>
  <c r="Y145" i="2"/>
  <c r="Y144" i="2"/>
  <c r="Z142" i="2"/>
  <c r="Y146" i="2"/>
  <c r="Z286" i="2"/>
  <c r="Z284" i="2"/>
  <c r="AA282" i="2"/>
  <c r="Z285" i="2"/>
  <c r="Y203" i="2"/>
  <c r="Y208" i="2" s="1"/>
  <c r="Y102" i="2"/>
  <c r="Y100" i="2"/>
  <c r="Z98" i="2"/>
  <c r="Y101" i="2"/>
  <c r="I500" i="2"/>
  <c r="AA98" i="2" l="1"/>
  <c r="X108" i="2"/>
  <c r="X109" i="2" s="1"/>
  <c r="Y148" i="2"/>
  <c r="Y153" i="2" s="1"/>
  <c r="Y175" i="2"/>
  <c r="Y180" i="2" s="1"/>
  <c r="I520" i="2"/>
  <c r="I541" i="2" s="1"/>
  <c r="AA284" i="2"/>
  <c r="AB282" i="2"/>
  <c r="AA285" i="2"/>
  <c r="AA286" i="2"/>
  <c r="Y232" i="2"/>
  <c r="Y237" i="2" s="1"/>
  <c r="Z172" i="2"/>
  <c r="Z171" i="2"/>
  <c r="Z173" i="2"/>
  <c r="AA169" i="2"/>
  <c r="Z203" i="2"/>
  <c r="Z208" i="2" s="1"/>
  <c r="Z258" i="2"/>
  <c r="AA254" i="2"/>
  <c r="Z256" i="2"/>
  <c r="Z257" i="2"/>
  <c r="Z100" i="2"/>
  <c r="Z101" i="2"/>
  <c r="Z102" i="2"/>
  <c r="Z288" i="2"/>
  <c r="Z293" i="2" s="1"/>
  <c r="Z145" i="2"/>
  <c r="Z144" i="2"/>
  <c r="AA142" i="2"/>
  <c r="Z146" i="2"/>
  <c r="Z229" i="2"/>
  <c r="Z230" i="2"/>
  <c r="AA226" i="2"/>
  <c r="Z228" i="2"/>
  <c r="AA200" i="2"/>
  <c r="AA201" i="2"/>
  <c r="AB197" i="2"/>
  <c r="AA199" i="2"/>
  <c r="Y260" i="2"/>
  <c r="Y265" i="2" s="1"/>
  <c r="G500" i="2"/>
  <c r="K500" i="2"/>
  <c r="J500" i="2"/>
  <c r="H500" i="2"/>
  <c r="AB98" i="2" l="1"/>
  <c r="Y108" i="2"/>
  <c r="Y109" i="2" s="1"/>
  <c r="F500" i="2" s="1"/>
  <c r="F520" i="2" s="1"/>
  <c r="F541" i="2" s="1"/>
  <c r="AA203" i="2"/>
  <c r="AA208" i="2" s="1"/>
  <c r="Z232" i="2"/>
  <c r="Z237" i="2" s="1"/>
  <c r="Z175" i="2"/>
  <c r="Z180" i="2" s="1"/>
  <c r="J520" i="2"/>
  <c r="J541" i="2" s="1"/>
  <c r="H520" i="2"/>
  <c r="H541" i="2" s="1"/>
  <c r="K520" i="2"/>
  <c r="K541" i="2" s="1"/>
  <c r="G520" i="2"/>
  <c r="G541" i="2" s="1"/>
  <c r="AB201" i="2"/>
  <c r="AC197" i="2"/>
  <c r="AB199" i="2"/>
  <c r="AB208" i="2" s="1"/>
  <c r="AB200" i="2"/>
  <c r="AA101" i="2"/>
  <c r="AA102" i="2"/>
  <c r="AA100" i="2"/>
  <c r="Z260" i="2"/>
  <c r="Z265" i="2" s="1"/>
  <c r="AA230" i="2"/>
  <c r="AB226" i="2"/>
  <c r="AA228" i="2"/>
  <c r="AA229" i="2"/>
  <c r="AA146" i="2"/>
  <c r="AA145" i="2"/>
  <c r="AA144" i="2"/>
  <c r="AB142" i="2"/>
  <c r="AA256" i="2"/>
  <c r="AA257" i="2"/>
  <c r="AA258" i="2"/>
  <c r="AB254" i="2"/>
  <c r="AA171" i="2"/>
  <c r="AB169" i="2"/>
  <c r="AA173" i="2"/>
  <c r="AA172" i="2"/>
  <c r="Z148" i="2"/>
  <c r="Z153" i="2" s="1"/>
  <c r="AB284" i="2"/>
  <c r="AC282" i="2"/>
  <c r="AB285" i="2"/>
  <c r="AB286" i="2"/>
  <c r="AA288" i="2"/>
  <c r="AA293" i="2" s="1"/>
  <c r="L501" i="2" s="1"/>
  <c r="L521" i="2" s="1"/>
  <c r="L542" i="2" s="1"/>
  <c r="I501" i="2"/>
  <c r="AC98" i="2" l="1"/>
  <c r="AA108" i="2" s="1"/>
  <c r="Z108" i="2"/>
  <c r="Z109" i="2" s="1"/>
  <c r="AB293" i="2"/>
  <c r="AB100" i="2"/>
  <c r="AA109" i="2"/>
  <c r="AA148" i="2"/>
  <c r="AA153" i="2" s="1"/>
  <c r="AA260" i="2"/>
  <c r="AA265" i="2" s="1"/>
  <c r="I521" i="2"/>
  <c r="I542" i="2" s="1"/>
  <c r="AB256" i="2"/>
  <c r="AB257" i="2"/>
  <c r="AB258" i="2"/>
  <c r="AC254" i="2"/>
  <c r="AA232" i="2"/>
  <c r="AA237" i="2" s="1"/>
  <c r="AB203" i="2"/>
  <c r="AC285" i="2"/>
  <c r="AC286" i="2"/>
  <c r="AC284" i="2"/>
  <c r="AD282" i="2"/>
  <c r="AB172" i="2"/>
  <c r="AB171" i="2"/>
  <c r="AB180" i="2" s="1"/>
  <c r="AB173" i="2"/>
  <c r="AC169" i="2"/>
  <c r="AB101" i="2"/>
  <c r="AB102" i="2"/>
  <c r="AC199" i="2"/>
  <c r="AC200" i="2"/>
  <c r="AD197" i="2"/>
  <c r="AC201" i="2"/>
  <c r="AB288" i="2"/>
  <c r="AA175" i="2"/>
  <c r="AA180" i="2" s="1"/>
  <c r="AB145" i="2"/>
  <c r="AB144" i="2"/>
  <c r="AB153" i="2" s="1"/>
  <c r="AC142" i="2"/>
  <c r="AB146" i="2"/>
  <c r="AB228" i="2"/>
  <c r="AB237" i="2" s="1"/>
  <c r="AB229" i="2"/>
  <c r="AB230" i="2"/>
  <c r="AC226" i="2"/>
  <c r="H501" i="2"/>
  <c r="J501" i="2"/>
  <c r="G501" i="2"/>
  <c r="K501" i="2"/>
  <c r="F501" i="2" l="1"/>
  <c r="F521" i="2" s="1"/>
  <c r="F542" i="2" s="1"/>
  <c r="AB109" i="2"/>
  <c r="AB265" i="2"/>
  <c r="AC288" i="2"/>
  <c r="AC293" i="2" s="1"/>
  <c r="L502" i="2" s="1"/>
  <c r="L522" i="2" s="1"/>
  <c r="L543" i="2" s="1"/>
  <c r="AB148" i="2"/>
  <c r="AC203" i="2"/>
  <c r="AC208" i="2" s="1"/>
  <c r="H521" i="2"/>
  <c r="H542" i="2" s="1"/>
  <c r="K521" i="2"/>
  <c r="K542" i="2" s="1"/>
  <c r="G521" i="2"/>
  <c r="G542" i="2" s="1"/>
  <c r="J521" i="2"/>
  <c r="J542" i="2" s="1"/>
  <c r="AC228" i="2"/>
  <c r="AC229" i="2"/>
  <c r="AC230" i="2"/>
  <c r="AD226" i="2"/>
  <c r="AC173" i="2"/>
  <c r="AC171" i="2"/>
  <c r="AD169" i="2"/>
  <c r="AC172" i="2"/>
  <c r="AB260" i="2"/>
  <c r="AD286" i="2"/>
  <c r="AD284" i="2"/>
  <c r="AE282" i="2"/>
  <c r="AD285" i="2"/>
  <c r="AC257" i="2"/>
  <c r="AC258" i="2"/>
  <c r="AD254" i="2"/>
  <c r="AC256" i="2"/>
  <c r="AD199" i="2"/>
  <c r="AD200" i="2"/>
  <c r="AD201" i="2"/>
  <c r="AE197" i="2"/>
  <c r="AC102" i="2"/>
  <c r="AC100" i="2"/>
  <c r="AD98" i="2"/>
  <c r="AB108" i="2" s="1"/>
  <c r="AC101" i="2"/>
  <c r="AB232" i="2"/>
  <c r="AC145" i="2"/>
  <c r="AC144" i="2"/>
  <c r="AD142" i="2"/>
  <c r="AC146" i="2"/>
  <c r="AB175" i="2"/>
  <c r="I502" i="2"/>
  <c r="AC109" i="2" l="1"/>
  <c r="F502" i="2" s="1"/>
  <c r="F522" i="2" s="1"/>
  <c r="F543" i="2" s="1"/>
  <c r="I522" i="2"/>
  <c r="I543" i="2" s="1"/>
  <c r="AC232" i="2"/>
  <c r="AC237" i="2" s="1"/>
  <c r="AC260" i="2"/>
  <c r="AC265" i="2" s="1"/>
  <c r="AC148" i="2"/>
  <c r="AC153" i="2" s="1"/>
  <c r="AD203" i="2"/>
  <c r="AD208" i="2" s="1"/>
  <c r="AE284" i="2"/>
  <c r="AF282" i="2"/>
  <c r="AE285" i="2"/>
  <c r="AE286" i="2"/>
  <c r="AD100" i="2"/>
  <c r="AE98" i="2"/>
  <c r="AC108" i="2" s="1"/>
  <c r="AD101" i="2"/>
  <c r="AD102" i="2"/>
  <c r="AE200" i="2"/>
  <c r="AE201" i="2"/>
  <c r="AF197" i="2"/>
  <c r="AE199" i="2"/>
  <c r="AD288" i="2"/>
  <c r="AD293" i="2" s="1"/>
  <c r="AD172" i="2"/>
  <c r="AD173" i="2"/>
  <c r="AE169" i="2"/>
  <c r="AD171" i="2"/>
  <c r="AD145" i="2"/>
  <c r="AD144" i="2"/>
  <c r="AE142" i="2"/>
  <c r="AD146" i="2"/>
  <c r="AD258" i="2"/>
  <c r="AE254" i="2"/>
  <c r="AD256" i="2"/>
  <c r="AD257" i="2"/>
  <c r="AC175" i="2"/>
  <c r="AC180" i="2" s="1"/>
  <c r="AD229" i="2"/>
  <c r="AD230" i="2"/>
  <c r="AE226" i="2"/>
  <c r="AD228" i="2"/>
  <c r="H502" i="2"/>
  <c r="J502" i="2"/>
  <c r="K502" i="2"/>
  <c r="G502" i="2"/>
  <c r="AD109" i="2" l="1"/>
  <c r="G522" i="2"/>
  <c r="G543" i="2" s="1"/>
  <c r="K522" i="2"/>
  <c r="K543" i="2" s="1"/>
  <c r="H522" i="2"/>
  <c r="H543" i="2" s="1"/>
  <c r="J522" i="2"/>
  <c r="J543" i="2" s="1"/>
  <c r="AD232" i="2"/>
  <c r="AD237" i="2" s="1"/>
  <c r="AD175" i="2"/>
  <c r="AD180" i="2" s="1"/>
  <c r="AE288" i="2"/>
  <c r="AE293" i="2" s="1"/>
  <c r="L503" i="2" s="1"/>
  <c r="L523" i="2" s="1"/>
  <c r="L544" i="2" s="1"/>
  <c r="AD148" i="2"/>
  <c r="AD153" i="2" s="1"/>
  <c r="AE203" i="2"/>
  <c r="AE208" i="2" s="1"/>
  <c r="AE256" i="2"/>
  <c r="AE257" i="2"/>
  <c r="AF254" i="2"/>
  <c r="AE258" i="2"/>
  <c r="AE171" i="2"/>
  <c r="AF169" i="2"/>
  <c r="AE173" i="2"/>
  <c r="AE172" i="2"/>
  <c r="AF201" i="2"/>
  <c r="AG197" i="2"/>
  <c r="AF199" i="2"/>
  <c r="AF200" i="2"/>
  <c r="AE146" i="2"/>
  <c r="AE145" i="2"/>
  <c r="AE144" i="2"/>
  <c r="AF142" i="2"/>
  <c r="AE230" i="2"/>
  <c r="AF226" i="2"/>
  <c r="AE228" i="2"/>
  <c r="AE229" i="2"/>
  <c r="AF98" i="2"/>
  <c r="AD108" i="2" s="1"/>
  <c r="AE101" i="2"/>
  <c r="AE102" i="2"/>
  <c r="AE100" i="2"/>
  <c r="AD260" i="2"/>
  <c r="AD265" i="2" s="1"/>
  <c r="AF284" i="2"/>
  <c r="AG282" i="2"/>
  <c r="AF285" i="2"/>
  <c r="AF286" i="2"/>
  <c r="I503" i="2"/>
  <c r="AE109" i="2" l="1"/>
  <c r="F503" i="2" s="1"/>
  <c r="F523" i="2" s="1"/>
  <c r="F544" i="2" s="1"/>
  <c r="I523" i="2"/>
  <c r="I544" i="2" s="1"/>
  <c r="P93" i="1"/>
  <c r="AE148" i="2"/>
  <c r="AE153" i="2" s="1"/>
  <c r="AE175" i="2"/>
  <c r="AE180" i="2" s="1"/>
  <c r="AE260" i="2"/>
  <c r="AE265" i="2" s="1"/>
  <c r="AF256" i="2"/>
  <c r="AF257" i="2"/>
  <c r="AF258" i="2"/>
  <c r="AG254" i="2"/>
  <c r="AG285" i="2"/>
  <c r="AG286" i="2"/>
  <c r="AH282" i="2"/>
  <c r="AG284" i="2"/>
  <c r="AF101" i="2"/>
  <c r="AF102" i="2"/>
  <c r="AF100" i="2"/>
  <c r="AG98" i="2"/>
  <c r="AE108" i="2" s="1"/>
  <c r="AF228" i="2"/>
  <c r="AF229" i="2"/>
  <c r="AF230" i="2"/>
  <c r="AG226" i="2"/>
  <c r="AF203" i="2"/>
  <c r="AF208" i="2" s="1"/>
  <c r="AG199" i="2"/>
  <c r="AG200" i="2"/>
  <c r="AH197" i="2"/>
  <c r="AG201" i="2"/>
  <c r="AF288" i="2"/>
  <c r="AF293" i="2" s="1"/>
  <c r="AE232" i="2"/>
  <c r="AE237" i="2" s="1"/>
  <c r="AF145" i="2"/>
  <c r="AF144" i="2"/>
  <c r="AG142" i="2"/>
  <c r="AF146" i="2"/>
  <c r="AF172" i="2"/>
  <c r="AG169" i="2"/>
  <c r="AF171" i="2"/>
  <c r="AF173" i="2"/>
  <c r="K503" i="2"/>
  <c r="J503" i="2"/>
  <c r="G503" i="2"/>
  <c r="H503" i="2"/>
  <c r="AF109" i="2" l="1"/>
  <c r="H523" i="2"/>
  <c r="H544" i="2" s="1"/>
  <c r="J523" i="2"/>
  <c r="J544" i="2" s="1"/>
  <c r="G523" i="2"/>
  <c r="G544" i="2" s="1"/>
  <c r="K523" i="2"/>
  <c r="K544" i="2" s="1"/>
  <c r="AF175" i="2"/>
  <c r="AF180" i="2" s="1"/>
  <c r="AF148" i="2"/>
  <c r="AF153" i="2" s="1"/>
  <c r="AG173" i="2"/>
  <c r="AG171" i="2"/>
  <c r="AH169" i="2"/>
  <c r="AG172" i="2"/>
  <c r="AG228" i="2"/>
  <c r="AG229" i="2"/>
  <c r="AG230" i="2"/>
  <c r="AH226" i="2"/>
  <c r="AG257" i="2"/>
  <c r="AG258" i="2"/>
  <c r="AH254" i="2"/>
  <c r="AG256" i="2"/>
  <c r="AG203" i="2"/>
  <c r="AG208" i="2" s="1"/>
  <c r="AG102" i="2"/>
  <c r="AG100" i="2"/>
  <c r="AH98" i="2"/>
  <c r="AF108" i="2" s="1"/>
  <c r="AG101" i="2"/>
  <c r="AG288" i="2"/>
  <c r="AG293" i="2" s="1"/>
  <c r="L504" i="2" s="1"/>
  <c r="L524" i="2" s="1"/>
  <c r="L545" i="2" s="1"/>
  <c r="AG145" i="2"/>
  <c r="AG144" i="2"/>
  <c r="AH142" i="2"/>
  <c r="AG146" i="2"/>
  <c r="AH199" i="2"/>
  <c r="AH200" i="2"/>
  <c r="AH201" i="2"/>
  <c r="AI197" i="2"/>
  <c r="AF232" i="2"/>
  <c r="AF237" i="2" s="1"/>
  <c r="AH286" i="2"/>
  <c r="AH284" i="2"/>
  <c r="AI282" i="2"/>
  <c r="AH285" i="2"/>
  <c r="AF260" i="2"/>
  <c r="AF265" i="2" s="1"/>
  <c r="I504" i="2"/>
  <c r="AG109" i="2" l="1"/>
  <c r="F504" i="2" s="1"/>
  <c r="F524" i="2" s="1"/>
  <c r="F545" i="2" s="1"/>
  <c r="I524" i="2"/>
  <c r="I545" i="2" s="1"/>
  <c r="P94" i="1"/>
  <c r="AH172" i="2"/>
  <c r="AH171" i="2"/>
  <c r="AH173" i="2"/>
  <c r="AI169" i="2"/>
  <c r="AG260" i="2"/>
  <c r="AG265" i="2" s="1"/>
  <c r="AG232" i="2"/>
  <c r="AG237" i="2" s="1"/>
  <c r="AG175" i="2"/>
  <c r="AG180" i="2" s="1"/>
  <c r="AI284" i="2"/>
  <c r="AJ282" i="2"/>
  <c r="AI285" i="2"/>
  <c r="AI286" i="2"/>
  <c r="AH145" i="2"/>
  <c r="AH144" i="2"/>
  <c r="AI142" i="2"/>
  <c r="AH146" i="2"/>
  <c r="AH258" i="2"/>
  <c r="AI254" i="2"/>
  <c r="AH256" i="2"/>
  <c r="AH257" i="2"/>
  <c r="AH229" i="2"/>
  <c r="AH230" i="2"/>
  <c r="AI226" i="2"/>
  <c r="AH228" i="2"/>
  <c r="AI200" i="2"/>
  <c r="AI201" i="2"/>
  <c r="AJ197" i="2"/>
  <c r="AI199" i="2"/>
  <c r="AH100" i="2"/>
  <c r="AI98" i="2"/>
  <c r="AG108" i="2" s="1"/>
  <c r="AH101" i="2"/>
  <c r="AH102" i="2"/>
  <c r="AH288" i="2"/>
  <c r="AH293" i="2" s="1"/>
  <c r="AH203" i="2"/>
  <c r="AH208" i="2" s="1"/>
  <c r="AG148" i="2"/>
  <c r="AG153" i="2" s="1"/>
  <c r="H504" i="2"/>
  <c r="G504" i="2"/>
  <c r="K504" i="2"/>
  <c r="J504" i="2"/>
  <c r="AH109" i="2" l="1"/>
  <c r="K524" i="2"/>
  <c r="K545" i="2" s="1"/>
  <c r="H524" i="2"/>
  <c r="H545" i="2" s="1"/>
  <c r="J524" i="2"/>
  <c r="J545" i="2" s="1"/>
  <c r="G524" i="2"/>
  <c r="G545" i="2" s="1"/>
  <c r="AH232" i="2"/>
  <c r="AH237" i="2" s="1"/>
  <c r="AI230" i="2"/>
  <c r="AJ226" i="2"/>
  <c r="AI228" i="2"/>
  <c r="AI229" i="2"/>
  <c r="AH260" i="2"/>
  <c r="AH265" i="2" s="1"/>
  <c r="AI288" i="2"/>
  <c r="AI293" i="2" s="1"/>
  <c r="L505" i="2" s="1"/>
  <c r="L525" i="2" s="1"/>
  <c r="L546" i="2" s="1"/>
  <c r="AH175" i="2"/>
  <c r="AH180" i="2" s="1"/>
  <c r="AJ284" i="2"/>
  <c r="AJ293" i="2" s="1"/>
  <c r="AK282" i="2"/>
  <c r="AJ285" i="2"/>
  <c r="AJ286" i="2"/>
  <c r="AI203" i="2"/>
  <c r="AI208" i="2" s="1"/>
  <c r="AI256" i="2"/>
  <c r="AI257" i="2"/>
  <c r="AJ254" i="2"/>
  <c r="AI258" i="2"/>
  <c r="AI146" i="2"/>
  <c r="AI145" i="2"/>
  <c r="AI144" i="2"/>
  <c r="AJ142" i="2"/>
  <c r="AJ98" i="2"/>
  <c r="AH108" i="2" s="1"/>
  <c r="AI101" i="2"/>
  <c r="AI102" i="2"/>
  <c r="AI100" i="2"/>
  <c r="AJ201" i="2"/>
  <c r="AK197" i="2"/>
  <c r="AJ199" i="2"/>
  <c r="AJ200" i="2"/>
  <c r="AH148" i="2"/>
  <c r="AH153" i="2" s="1"/>
  <c r="AI171" i="2"/>
  <c r="AJ169" i="2"/>
  <c r="AI173" i="2"/>
  <c r="AI172" i="2"/>
  <c r="I505" i="2"/>
  <c r="AJ208" i="2" l="1"/>
  <c r="AI109" i="2"/>
  <c r="F505" i="2" s="1"/>
  <c r="F525" i="2" s="1"/>
  <c r="F546" i="2" s="1"/>
  <c r="I525" i="2"/>
  <c r="I546" i="2" s="1"/>
  <c r="AI148" i="2"/>
  <c r="AI153" i="2" s="1"/>
  <c r="AK285" i="2"/>
  <c r="AK286" i="2"/>
  <c r="AK284" i="2"/>
  <c r="AL282" i="2"/>
  <c r="AJ172" i="2"/>
  <c r="AJ171" i="2"/>
  <c r="AJ180" i="2" s="1"/>
  <c r="AJ173" i="2"/>
  <c r="AK169" i="2"/>
  <c r="AJ256" i="2"/>
  <c r="AJ257" i="2"/>
  <c r="AJ258" i="2"/>
  <c r="AK254" i="2"/>
  <c r="AJ288" i="2"/>
  <c r="AJ228" i="2"/>
  <c r="AJ237" i="2" s="1"/>
  <c r="AJ229" i="2"/>
  <c r="AK226" i="2"/>
  <c r="AJ230" i="2"/>
  <c r="AJ203" i="2"/>
  <c r="AJ101" i="2"/>
  <c r="AJ102" i="2"/>
  <c r="AJ100" i="2"/>
  <c r="AJ109" i="2" s="1"/>
  <c r="AK98" i="2"/>
  <c r="AI108" i="2" s="1"/>
  <c r="AI175" i="2"/>
  <c r="AI180" i="2" s="1"/>
  <c r="AK199" i="2"/>
  <c r="AK200" i="2"/>
  <c r="AK201" i="2"/>
  <c r="AL197" i="2"/>
  <c r="AJ145" i="2"/>
  <c r="AJ144" i="2"/>
  <c r="AK142" i="2"/>
  <c r="AJ146" i="2"/>
  <c r="AI260" i="2"/>
  <c r="AI265" i="2" s="1"/>
  <c r="AI232" i="2"/>
  <c r="AI237" i="2" s="1"/>
  <c r="G505" i="2"/>
  <c r="J505" i="2"/>
  <c r="K505" i="2"/>
  <c r="H505" i="2"/>
  <c r="AJ153" i="2" l="1"/>
  <c r="AJ265" i="2"/>
  <c r="J525" i="2"/>
  <c r="J546" i="2" s="1"/>
  <c r="H525" i="2"/>
  <c r="H546" i="2" s="1"/>
  <c r="K525" i="2"/>
  <c r="K546" i="2" s="1"/>
  <c r="G525" i="2"/>
  <c r="G546" i="2" s="1"/>
  <c r="AJ232" i="2"/>
  <c r="AJ175" i="2"/>
  <c r="AK288" i="2"/>
  <c r="AK293" i="2" s="1"/>
  <c r="L506" i="2" s="1"/>
  <c r="L526" i="2" s="1"/>
  <c r="L547" i="2" s="1"/>
  <c r="AK203" i="2"/>
  <c r="AK208" i="2" s="1"/>
  <c r="AK102" i="2"/>
  <c r="AK100" i="2"/>
  <c r="AL98" i="2"/>
  <c r="AJ108" i="2" s="1"/>
  <c r="AK101" i="2"/>
  <c r="AK257" i="2"/>
  <c r="AK258" i="2"/>
  <c r="AL254" i="2"/>
  <c r="AK256" i="2"/>
  <c r="AJ260" i="2"/>
  <c r="AK145" i="2"/>
  <c r="AK144" i="2"/>
  <c r="AL142" i="2"/>
  <c r="AK146" i="2"/>
  <c r="AL199" i="2"/>
  <c r="AL200" i="2"/>
  <c r="AL201" i="2"/>
  <c r="AK173" i="2"/>
  <c r="AK171" i="2"/>
  <c r="AL169" i="2"/>
  <c r="AK172" i="2"/>
  <c r="AK228" i="2"/>
  <c r="AK229" i="2"/>
  <c r="AK230" i="2"/>
  <c r="AL226" i="2"/>
  <c r="AJ148" i="2"/>
  <c r="AL286" i="2"/>
  <c r="AL284" i="2"/>
  <c r="AM282" i="2"/>
  <c r="AN282" i="2" s="1"/>
  <c r="AL285" i="2"/>
  <c r="I506" i="2"/>
  <c r="AK109" i="2" l="1"/>
  <c r="F506" i="2" s="1"/>
  <c r="F526" i="2" s="1"/>
  <c r="F547" i="2" s="1"/>
  <c r="I526" i="2"/>
  <c r="I547" i="2" s="1"/>
  <c r="AK232" i="2"/>
  <c r="AK237" i="2" s="1"/>
  <c r="AK175" i="2"/>
  <c r="AK180" i="2" s="1"/>
  <c r="AL288" i="2"/>
  <c r="AL293" i="2" s="1"/>
  <c r="L507" i="2" s="1"/>
  <c r="L527" i="2" s="1"/>
  <c r="L548" i="2" s="1"/>
  <c r="F552" i="2" s="1"/>
  <c r="AL229" i="2"/>
  <c r="AL230" i="2"/>
  <c r="AL228" i="2"/>
  <c r="AL203" i="2"/>
  <c r="AL208" i="2" s="1"/>
  <c r="AK148" i="2"/>
  <c r="AK153" i="2" s="1"/>
  <c r="AK260" i="2"/>
  <c r="AK265" i="2" s="1"/>
  <c r="D210" i="2"/>
  <c r="D211" i="2" s="1"/>
  <c r="I576" i="2" s="1"/>
  <c r="AL258" i="2"/>
  <c r="AL256" i="2"/>
  <c r="AL257" i="2"/>
  <c r="AL145" i="2"/>
  <c r="AL144" i="2"/>
  <c r="AM142" i="2"/>
  <c r="AN142" i="2" s="1"/>
  <c r="AL146" i="2"/>
  <c r="D295" i="2"/>
  <c r="D296" i="2" s="1"/>
  <c r="I579" i="2" s="1"/>
  <c r="AL172" i="2"/>
  <c r="AL173" i="2"/>
  <c r="AM169" i="2"/>
  <c r="AN169" i="2" s="1"/>
  <c r="AL171" i="2"/>
  <c r="AL100" i="2"/>
  <c r="AL109" i="2" s="1"/>
  <c r="AM98" i="2"/>
  <c r="AK108" i="2" s="1"/>
  <c r="AL101" i="2"/>
  <c r="AL102" i="2"/>
  <c r="I507" i="2"/>
  <c r="F553" i="2"/>
  <c r="G506" i="2"/>
  <c r="J506" i="2"/>
  <c r="K506" i="2"/>
  <c r="H506" i="2"/>
  <c r="AN98" i="2" l="1"/>
  <c r="AL108" i="2" s="1"/>
  <c r="AM102" i="2"/>
  <c r="AM101" i="2"/>
  <c r="AM100" i="2"/>
  <c r="F554" i="2"/>
  <c r="H526" i="2"/>
  <c r="H547" i="2" s="1"/>
  <c r="K526" i="2"/>
  <c r="K547" i="2" s="1"/>
  <c r="J526" i="2"/>
  <c r="J547" i="2" s="1"/>
  <c r="G526" i="2"/>
  <c r="G547" i="2" s="1"/>
  <c r="I527" i="2"/>
  <c r="I548" i="2" s="1"/>
  <c r="I552" i="2" s="1"/>
  <c r="L552" i="2"/>
  <c r="AL148" i="2"/>
  <c r="AL153" i="2" s="1"/>
  <c r="AL232" i="2"/>
  <c r="AL237" i="2" s="1"/>
  <c r="AL260" i="2"/>
  <c r="AL265" i="2" s="1"/>
  <c r="D155" i="2"/>
  <c r="D156" i="2" s="1"/>
  <c r="I574" i="2" s="1"/>
  <c r="D267" i="2"/>
  <c r="D268" i="2" s="1"/>
  <c r="I578" i="2" s="1"/>
  <c r="AL175" i="2"/>
  <c r="AL180" i="2" s="1"/>
  <c r="D182" i="2"/>
  <c r="D183" i="2" s="1"/>
  <c r="I575" i="2" s="1"/>
  <c r="D239" i="2"/>
  <c r="D240" i="2" s="1"/>
  <c r="I577" i="2" s="1"/>
  <c r="H507" i="2"/>
  <c r="K507" i="2"/>
  <c r="G507" i="2"/>
  <c r="L553" i="2"/>
  <c r="O532" i="2"/>
  <c r="J507" i="2"/>
  <c r="I553" i="2"/>
  <c r="AM109" i="2" l="1"/>
  <c r="F507" i="2" s="1"/>
  <c r="F527" i="2" s="1"/>
  <c r="F548" i="2" s="1"/>
  <c r="AN100" i="2"/>
  <c r="AN102" i="2"/>
  <c r="AN109" i="2"/>
  <c r="AN101" i="2"/>
  <c r="H573" i="2"/>
  <c r="L16" i="1" s="1"/>
  <c r="H527" i="2"/>
  <c r="H548" i="2" s="1"/>
  <c r="H552" i="2" s="1"/>
  <c r="K527" i="2"/>
  <c r="K548" i="2" s="1"/>
  <c r="K552" i="2" s="1"/>
  <c r="J527" i="2"/>
  <c r="J548" i="2" s="1"/>
  <c r="J552" i="2" s="1"/>
  <c r="G527" i="2"/>
  <c r="G548" i="2" s="1"/>
  <c r="G552" i="2" s="1"/>
  <c r="I554" i="2"/>
  <c r="L554" i="2"/>
  <c r="O538" i="2"/>
  <c r="J553" i="2"/>
  <c r="O535" i="2"/>
  <c r="G553" i="2"/>
  <c r="H553" i="2"/>
  <c r="K553" i="2"/>
  <c r="D111" i="2" l="1"/>
  <c r="D112" i="2" s="1"/>
  <c r="I16" i="1" s="1"/>
  <c r="J16" i="1" s="1"/>
  <c r="H576" i="2"/>
  <c r="H579" i="2"/>
  <c r="H554" i="2"/>
  <c r="J554" i="2"/>
  <c r="G554" i="2"/>
  <c r="K554" i="2"/>
  <c r="O536" i="2"/>
  <c r="O537" i="2"/>
  <c r="O534" i="2"/>
  <c r="O533" i="2"/>
  <c r="F12" i="2" l="1"/>
  <c r="G12" i="2" s="1"/>
  <c r="I573" i="2"/>
  <c r="K16" i="1"/>
  <c r="H574" i="2"/>
  <c r="H577" i="2"/>
  <c r="H575" i="2"/>
  <c r="H578" i="2"/>
</calcChain>
</file>

<file path=xl/comments1.xml><?xml version="1.0" encoding="utf-8"?>
<comments xmlns="http://schemas.openxmlformats.org/spreadsheetml/2006/main">
  <authors>
    <author>Andy .</author>
    <author>Utilisateur</author>
    <author>Windows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https://fr.shop.ford.ca/inventory/f150/results?zipcode=H3X2W8&amp;Radius=150</t>
        </r>
      </text>
    </comment>
    <comment ref="D24" authorId="1" shapeId="0">
      <text>
        <r>
          <rPr>
            <b/>
            <sz val="9"/>
            <color indexed="81"/>
            <rFont val="Tahoma"/>
            <family val="2"/>
          </rPr>
          <t>Median residual value on the market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http://www.dispositiondesbiens.gouv.qc.ca/citoyens-et-entreprises/ventes-a-lencan/resultats-des-ventes-a-lencan.html
https://www.rbauction.qc.ca</t>
        </r>
      </text>
    </comment>
    <comment ref="D27" authorId="2" shapeId="0">
      <text>
        <r>
          <rPr>
            <b/>
            <sz val="9"/>
            <color indexed="81"/>
            <rFont val="Tahoma"/>
            <family val="2"/>
          </rPr>
          <t>http://www.automotive-fleet.com/statistics/statsviewer.aspx?file=http%3a%2f%2fwww.automotive-fleet.com%2ffc_resources%2fstats%2faffb13opcost.pdf&amp;channel</t>
        </r>
      </text>
    </comment>
    <comment ref="D40" authorId="2" shapeId="0">
      <text>
        <r>
          <rPr>
            <sz val="9"/>
            <color indexed="81"/>
            <rFont val="Tahoma"/>
            <family val="2"/>
          </rPr>
          <t>http://web.archive.org/web/20131007030754/http://quebec.autoblog.com/2013/07/29/voiture-electrique-prix-amortissement-comparables-economie-calculee/</t>
        </r>
      </text>
    </comment>
  </commentList>
</comments>
</file>

<file path=xl/comments2.xml><?xml version="1.0" encoding="utf-8"?>
<comments xmlns="http://schemas.openxmlformats.org/spreadsheetml/2006/main">
  <authors>
    <author>Windows</author>
    <author>Utilisateur</author>
  </authors>
  <commentList>
    <comment ref="D54" authorId="0" shapeId="0">
      <text>
        <r>
          <rPr>
            <b/>
            <sz val="9"/>
            <color indexed="81"/>
            <rFont val="Tahoma"/>
            <family val="2"/>
          </rPr>
          <t>http://www.automotive-fleet.com/statistics/statsviewer.aspx?file=http%3a%2f%2fwww.automotive-fleet.com%2ffc_resources%2fstats%2faffb13opcost.pdf&amp;channel</t>
        </r>
      </text>
    </comment>
    <comment ref="D134" authorId="1" shapeId="0">
      <text>
        <r>
          <rPr>
            <b/>
            <sz val="9"/>
            <color indexed="81"/>
            <rFont val="Tahoma"/>
            <family val="2"/>
          </rPr>
          <t>https://web.archive.org/web/20130803174245/http://quebec.autoblog.com/2013/07/29/voiture-electrique-prix-amortissement-comparables-economie-calculee</t>
        </r>
      </text>
    </comment>
  </commentList>
</comments>
</file>

<file path=xl/sharedStrings.xml><?xml version="1.0" encoding="utf-8"?>
<sst xmlns="http://schemas.openxmlformats.org/spreadsheetml/2006/main" count="288" uniqueCount="161">
  <si>
    <t>General Data</t>
  </si>
  <si>
    <t>Mileage (km) per year</t>
  </si>
  <si>
    <t>Amount</t>
  </si>
  <si>
    <t>Difference</t>
  </si>
  <si>
    <t>Gas price ($/liter)</t>
  </si>
  <si>
    <t>Gas</t>
  </si>
  <si>
    <t>Electricity prices ($/kWh)</t>
  </si>
  <si>
    <t xml:space="preserve">Ecotuned </t>
  </si>
  <si>
    <t>Gas pickup</t>
  </si>
  <si>
    <t>Number of years of use</t>
  </si>
  <si>
    <t>Location</t>
  </si>
  <si>
    <t>Résultats - Modèle d'affaires</t>
  </si>
  <si>
    <t>Modèle de ventes</t>
  </si>
  <si>
    <t>Marge bénéficiaire brute</t>
  </si>
  <si>
    <t>Taux de rendement interne (TRI)</t>
  </si>
  <si>
    <t>Modèle locatif</t>
  </si>
  <si>
    <t>Profit</t>
  </si>
  <si>
    <t xml:space="preserve">Mensualités de la location </t>
  </si>
  <si>
    <t xml:space="preserve">Coût du système </t>
  </si>
  <si>
    <t>Mensualités - Ecotuned</t>
  </si>
  <si>
    <t>Durée du bail (années)</t>
  </si>
  <si>
    <t>Intérêt d'emprûnt à Ecotuned</t>
  </si>
  <si>
    <t>Finacement (années)</t>
  </si>
  <si>
    <t>Camionnette hybride</t>
  </si>
  <si>
    <t xml:space="preserve">Achat </t>
  </si>
  <si>
    <t>Économie essence hybride</t>
  </si>
  <si>
    <t>Nombre d'années d'utlisation</t>
  </si>
  <si>
    <t>Valeur de revente</t>
  </si>
  <si>
    <t>Camionnette VIA Motors</t>
  </si>
  <si>
    <t>Achat</t>
  </si>
  <si>
    <t>Cycle d'utilisation (années)</t>
  </si>
  <si>
    <t xml:space="preserve">Subvention </t>
  </si>
  <si>
    <t>Results - Purchase</t>
  </si>
  <si>
    <t>Type of vans</t>
  </si>
  <si>
    <t>Annual Operating Cost</t>
  </si>
  <si>
    <t>Annual cost equivalent (ACE)</t>
  </si>
  <si>
    <t>Hybrid</t>
  </si>
  <si>
    <t>VIA Motors</t>
  </si>
  <si>
    <t>Ecotuned</t>
  </si>
  <si>
    <t>Cost of capital (TRAM)</t>
  </si>
  <si>
    <t>Purchase price</t>
  </si>
  <si>
    <t>Resale value</t>
  </si>
  <si>
    <t>Maintenance cost ($/100km)</t>
  </si>
  <si>
    <t>Gas consumption (l/100km)</t>
  </si>
  <si>
    <t>Hybrid pickup</t>
  </si>
  <si>
    <t>Fuel economy</t>
  </si>
  <si>
    <t>VIA Motors pickup</t>
  </si>
  <si>
    <t>Cycle of use (years)</t>
  </si>
  <si>
    <t>Subsidy</t>
  </si>
  <si>
    <t>Years</t>
  </si>
  <si>
    <t>Vehicle purchase</t>
  </si>
  <si>
    <t>Recovery</t>
  </si>
  <si>
    <t>Fuel</t>
  </si>
  <si>
    <t>Maintenance</t>
  </si>
  <si>
    <t>Total</t>
  </si>
  <si>
    <t>NPV</t>
  </si>
  <si>
    <t>AEC</t>
  </si>
  <si>
    <t>Hydrid</t>
  </si>
  <si>
    <t xml:space="preserve">Electricity   </t>
  </si>
  <si>
    <t>Calculations annual cost equivalent</t>
  </si>
  <si>
    <t>Années</t>
  </si>
  <si>
    <t>Vehicle</t>
  </si>
  <si>
    <t>Powertrain system</t>
  </si>
  <si>
    <t>Batteries</t>
  </si>
  <si>
    <t>TRAM</t>
  </si>
  <si>
    <t>Reduction</t>
  </si>
  <si>
    <t xml:space="preserve">Costs of resettlement  </t>
  </si>
  <si>
    <t>Ecotuned - 2021</t>
  </si>
  <si>
    <t>Ecotuned's profit margins</t>
  </si>
  <si>
    <t>Réduction</t>
  </si>
  <si>
    <t>Ecotuned - 2022</t>
  </si>
  <si>
    <t>Installing, warranty and transport</t>
  </si>
  <si>
    <t>Ecotuned - 2023</t>
  </si>
  <si>
    <t>Ecotuned - 2024</t>
  </si>
  <si>
    <t>Ecotuned - 2025</t>
  </si>
  <si>
    <t>Ecotuned - 2026</t>
  </si>
  <si>
    <t>Ref :</t>
  </si>
  <si>
    <t>Year</t>
  </si>
  <si>
    <t>an(s)</t>
  </si>
  <si>
    <t>Year of profitability</t>
  </si>
  <si>
    <t>Année</t>
  </si>
  <si>
    <t>Nb colum</t>
  </si>
  <si>
    <t>Crossing</t>
  </si>
  <si>
    <t>Interpolation</t>
  </si>
  <si>
    <t>nb. Year(s)</t>
  </si>
  <si>
    <t>Expense</t>
  </si>
  <si>
    <t>All cost price of the Ecotuned system
($)</t>
  </si>
  <si>
    <t>Other
($)</t>
  </si>
  <si>
    <t>Selling price
($)</t>
  </si>
  <si>
    <t>Average subsidy per vehicle in the sales territory ($)</t>
  </si>
  <si>
    <t>Price payed by clients 
($)</t>
  </si>
  <si>
    <t>Return on customer's investment
(years)</t>
  </si>
  <si>
    <t xml:space="preserve">Client saving of annual cost 
(%)  </t>
  </si>
  <si>
    <t>TECHNOLOGICAL DEMONSTRATION</t>
  </si>
  <si>
    <t>Taux</t>
  </si>
  <si>
    <t>-</t>
  </si>
  <si>
    <t>Entrée d'informations</t>
  </si>
  <si>
    <t>Résultats - Avantages pour le client</t>
  </si>
  <si>
    <t>Kilométrage (km) par an</t>
  </si>
  <si>
    <t>Prix du gaz ($ / litre)</t>
  </si>
  <si>
    <t>Prix de l'électricité ($ / kWh)</t>
  </si>
  <si>
    <t>Prix d'achat d'un nouveau camion</t>
  </si>
  <si>
    <t>Nombre d'années d'utilisation avant renouvellement</t>
  </si>
  <si>
    <t>Consommation de carburant du véhicule (L / 100 km)</t>
  </si>
  <si>
    <t>Frais d'entretien ($ / km)</t>
  </si>
  <si>
    <t>Données générales</t>
  </si>
  <si>
    <t xml:space="preserve">Camion neuf à carburant </t>
  </si>
  <si>
    <r>
      <t>Système Ecotuned (</t>
    </r>
    <r>
      <rPr>
        <b/>
        <u/>
        <sz val="11"/>
        <color theme="1"/>
        <rFont val="Calibri"/>
        <family val="2"/>
      </rPr>
      <t>après subvention gouvernementale</t>
    </r>
    <r>
      <rPr>
        <sz val="11"/>
        <color theme="1"/>
        <rFont val="Calibri"/>
        <family val="2"/>
      </rPr>
      <t>)</t>
    </r>
  </si>
  <si>
    <t>Prix d'achat du camion (si applicable)</t>
  </si>
  <si>
    <t>Coût de la réinstallation</t>
  </si>
  <si>
    <t>Économies de maintenance</t>
  </si>
  <si>
    <t>Consommation du véhicule (kWh / 100 km)</t>
  </si>
  <si>
    <t>Durée d'installation dans le véhicule (années)</t>
  </si>
  <si>
    <t>Durée de vie des batteries (années)</t>
  </si>
  <si>
    <t>Durée de vie du groupe motopropulseur électrique (années)</t>
  </si>
  <si>
    <t>Type de camion</t>
  </si>
  <si>
    <t>Caburant</t>
  </si>
  <si>
    <t>Coût d'exploitation annuel</t>
  </si>
  <si>
    <t xml:space="preserve">Montant </t>
  </si>
  <si>
    <t>Différence</t>
  </si>
  <si>
    <t>Coût annuel équivalent</t>
  </si>
  <si>
    <t>Économie durant la période</t>
  </si>
  <si>
    <t>Période de récupération (année)</t>
  </si>
  <si>
    <t>Carburant</t>
  </si>
  <si>
    <t xml:space="preserve">Caulcul du coût annuel équivalement </t>
  </si>
  <si>
    <t>Récupération</t>
  </si>
  <si>
    <t>Entretien</t>
  </si>
  <si>
    <t xml:space="preserve">Électricité </t>
  </si>
  <si>
    <t>Remplacement des batteries</t>
  </si>
  <si>
    <t>Achat du véhicule</t>
  </si>
  <si>
    <t>Système Ecotuned (après subvention)</t>
  </si>
  <si>
    <t>Coût d'installation</t>
  </si>
  <si>
    <t>Valeur actuelle nette (VAN)</t>
  </si>
  <si>
    <t>Coût annuel équivalent (EAC)</t>
  </si>
  <si>
    <t>Taux de rendement minimum acceptable</t>
  </si>
  <si>
    <t>Conversion électrique Ecotuned</t>
  </si>
  <si>
    <t>Camion hors garantie de 5 ans ou 100 000 km</t>
  </si>
  <si>
    <t xml:space="preserve">Cellule modifiable </t>
  </si>
  <si>
    <t>Comparaison financière d'un nouveau camion à gaz vs la conversion Ecotuned</t>
  </si>
  <si>
    <t>Valeur de l'équipement installé (si applicable)</t>
  </si>
  <si>
    <t>Classe 4 - Ford F-450/E-450</t>
  </si>
  <si>
    <t>Classe 3 - Ford F-350/E350</t>
  </si>
  <si>
    <t>Classe 2A - Ford F-250/E250</t>
  </si>
  <si>
    <t xml:space="preserve">Classe 2 - Ford F-150/Econoline </t>
  </si>
  <si>
    <t>https://fr.shop.ford.ca/inventory/superduty/results?zipcode=H3X2W8&amp;Radius=150&amp;modeltrim=SuperDuty_F22-F450XL%3BSuperDuty_F22-F450XLT&amp;year=2019&amp;fyear=2019&amp;Order=Distance</t>
  </si>
  <si>
    <t xml:space="preserve">https://fr.shop.ford.ca/inventory/superduty/results?zipcode=H3X2W8&amp;Radius=150&amp;modeltrim=SuperDuty_F22-F250XL%3BSuperDuty_F22-F250XLT&amp;year=2019&amp;fyear=2019&amp;Order=Distance </t>
  </si>
  <si>
    <t xml:space="preserve">https://fr.shop.ford.ca/inventory/superduty/results?zipcode=H3X2W8&amp;Radius=150&amp;modeltrim=SuperDuty_F22-F350XLT%3BSuperDuty_F22-F350XL&amp;year=2019&amp;fyear=2019&amp;Order=Distance </t>
  </si>
  <si>
    <t>https://fr.shop.ford.ca/inventory/f150/results?zipcode=H3X2W8&amp;Radius=150&amp;modeltrim=F-150_F24-XLT&amp;year=2019&amp;fyear=2019&amp;Order=LowPrice</t>
  </si>
  <si>
    <t>Prix</t>
  </si>
  <si>
    <t>Consommation l/100 km</t>
  </si>
  <si>
    <t>Consommation kWh/100 km</t>
  </si>
  <si>
    <t>MK3 E45</t>
  </si>
  <si>
    <t>MK3 E65</t>
  </si>
  <si>
    <t>MK3 E85</t>
  </si>
  <si>
    <t>Feuille de calculs</t>
  </si>
  <si>
    <t xml:space="preserve">Choix des modèles de comparaison </t>
  </si>
  <si>
    <t>Système Ecotuned</t>
  </si>
  <si>
    <t>Sources</t>
  </si>
  <si>
    <t xml:space="preserve">Choix </t>
  </si>
  <si>
    <t>CHOISIR ICI 
votre modèle de camion dans la liste</t>
  </si>
  <si>
    <t>Version 1.3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</si>
</sst>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#,##0\ &quot;$&quot;_);\(#,##0\ &quot;$&quot;\)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  <numFmt numFmtId="165" formatCode="_ * #,##0_)\ &quot;$&quot;_ ;_ * \(#,##0\)\ &quot;$&quot;_ ;_ * &quot;-&quot;??_)\ &quot;$&quot;_ ;_ @_ "/>
    <numFmt numFmtId="166" formatCode="0.0"/>
    <numFmt numFmtId="167" formatCode="0.0%"/>
    <numFmt numFmtId="168" formatCode="#,##0\ &quot;$&quot;"/>
    <numFmt numFmtId="169" formatCode="#,##0.0000\ &quot;$&quot;"/>
    <numFmt numFmtId="170" formatCode="_ * #,##0_)\ _$_ ;_ * \(#,##0\)\ _$_ ;_ * &quot;-&quot;??_)\ _$_ ;_ @_ "/>
    <numFmt numFmtId="171" formatCode="_ * #,##0.0_)\ _$_ ;_ * \(#,##0.0\)\ _$_ ;_ * &quot;-&quot;??_)\ _$_ ;_ @_ "/>
    <numFmt numFmtId="172" formatCode="_ * #,##0_)\ [$$-C0C]_ ;_ * \(#,##0\)\ [$$-C0C]_ ;_ * &quot;-&quot;??_)\ [$$-C0C]_ ;_ 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i/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indexed="64"/>
      </left>
      <right/>
      <top/>
      <bottom style="dotted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dotted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dotted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 style="dotted">
        <color theme="0" tint="-0.2499465926084170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medium">
        <color indexed="64"/>
      </left>
      <right/>
      <top style="dotted">
        <color theme="0" tint="-0.2499465926084170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3F3F3F"/>
      </right>
      <top style="double">
        <color rgb="FF3F3F3F"/>
      </top>
      <bottom style="thin">
        <color indexed="64"/>
      </bottom>
      <diagonal/>
    </border>
    <border>
      <left style="thin">
        <color rgb="FF3F3F3F"/>
      </left>
      <right/>
      <top style="double">
        <color rgb="FF3F3F3F"/>
      </top>
      <bottom style="thin">
        <color indexed="64"/>
      </bottom>
      <diagonal/>
    </border>
    <border>
      <left style="thin">
        <color rgb="FF3F3F3F"/>
      </left>
      <right style="medium">
        <color indexed="64"/>
      </right>
      <top style="double">
        <color rgb="FF3F3F3F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/>
      <bottom/>
      <diagonal/>
    </border>
    <border>
      <left style="thin">
        <color rgb="FF3F3F3F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14996795556505021"/>
      </bottom>
      <diagonal/>
    </border>
    <border>
      <left style="thin">
        <color auto="1"/>
      </left>
      <right/>
      <top style="thin">
        <color indexed="64"/>
      </top>
      <bottom style="dotted">
        <color theme="0" tint="-0.14996795556505021"/>
      </bottom>
      <diagonal/>
    </border>
    <border>
      <left/>
      <right/>
      <top style="thin">
        <color indexed="64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auto="1"/>
      </left>
      <right style="thin">
        <color auto="1"/>
      </right>
      <top style="dotted">
        <color theme="0" tint="-0.14996795556505021"/>
      </top>
      <bottom style="double">
        <color auto="1"/>
      </bottom>
      <diagonal/>
    </border>
    <border>
      <left style="thin">
        <color auto="1"/>
      </left>
      <right/>
      <top style="dotted">
        <color theme="0" tint="-0.14996795556505021"/>
      </top>
      <bottom style="double">
        <color auto="1"/>
      </bottom>
      <diagonal/>
    </border>
    <border>
      <left/>
      <right/>
      <top style="dotted">
        <color theme="0" tint="-0.1499679555650502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tted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theme="0" tint="-0.2499465926084170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2" borderId="1" applyNumberFormat="0" applyAlignment="0" applyProtection="0"/>
    <xf numFmtId="0" fontId="1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5">
    <xf numFmtId="0" fontId="0" fillId="0" borderId="0" xfId="0"/>
    <xf numFmtId="0" fontId="1" fillId="5" borderId="0" xfId="3" applyFill="1"/>
    <xf numFmtId="164" fontId="7" fillId="8" borderId="9" xfId="3" applyNumberFormat="1" applyFont="1" applyFill="1" applyBorder="1" applyAlignment="1">
      <alignment vertical="center" wrapText="1"/>
    </xf>
    <xf numFmtId="3" fontId="7" fillId="9" borderId="10" xfId="3" applyNumberFormat="1" applyFont="1" applyFill="1" applyBorder="1" applyAlignment="1" applyProtection="1">
      <alignment horizontal="center" vertical="center"/>
      <protection locked="0"/>
    </xf>
    <xf numFmtId="0" fontId="3" fillId="7" borderId="12" xfId="3" applyFont="1" applyFill="1" applyBorder="1" applyAlignment="1">
      <alignment horizontal="center" vertical="center"/>
    </xf>
    <xf numFmtId="0" fontId="8" fillId="7" borderId="13" xfId="3" applyFont="1" applyFill="1" applyBorder="1" applyAlignment="1">
      <alignment horizontal="center" vertical="center"/>
    </xf>
    <xf numFmtId="164" fontId="7" fillId="8" borderId="16" xfId="3" applyNumberFormat="1" applyFont="1" applyFill="1" applyBorder="1" applyAlignment="1">
      <alignment vertical="center" wrapText="1"/>
    </xf>
    <xf numFmtId="164" fontId="7" fillId="9" borderId="17" xfId="3" applyNumberFormat="1" applyFont="1" applyFill="1" applyBorder="1" applyAlignment="1" applyProtection="1">
      <alignment horizontal="center" vertical="center"/>
      <protection locked="0"/>
    </xf>
    <xf numFmtId="165" fontId="9" fillId="10" borderId="18" xfId="3" applyNumberFormat="1" applyFont="1" applyFill="1" applyBorder="1"/>
    <xf numFmtId="43" fontId="1" fillId="10" borderId="19" xfId="4" applyFont="1" applyFill="1" applyBorder="1" applyAlignment="1">
      <alignment horizontal="center" vertical="center"/>
    </xf>
    <xf numFmtId="165" fontId="1" fillId="5" borderId="18" xfId="5" applyNumberFormat="1" applyFont="1" applyFill="1" applyBorder="1" applyAlignment="1">
      <alignment horizontal="center" vertical="center"/>
    </xf>
    <xf numFmtId="43" fontId="1" fillId="10" borderId="0" xfId="4" applyFont="1" applyFill="1" applyBorder="1" applyAlignment="1">
      <alignment horizontal="center" vertical="center"/>
    </xf>
    <xf numFmtId="164" fontId="7" fillId="8" borderId="20" xfId="3" applyNumberFormat="1" applyFont="1" applyFill="1" applyBorder="1" applyAlignment="1">
      <alignment vertical="center" wrapText="1"/>
    </xf>
    <xf numFmtId="168" fontId="1" fillId="5" borderId="0" xfId="3" applyNumberFormat="1" applyFill="1" applyAlignment="1">
      <alignment horizontal="center"/>
    </xf>
    <xf numFmtId="0" fontId="7" fillId="10" borderId="26" xfId="3" applyFont="1" applyFill="1" applyBorder="1" applyAlignment="1">
      <alignment horizontal="left"/>
    </xf>
    <xf numFmtId="168" fontId="10" fillId="9" borderId="17" xfId="3" applyNumberFormat="1" applyFont="1" applyFill="1" applyBorder="1" applyAlignment="1" applyProtection="1">
      <alignment horizontal="center"/>
      <protection locked="0"/>
    </xf>
    <xf numFmtId="164" fontId="7" fillId="10" borderId="26" xfId="3" applyNumberFormat="1" applyFont="1" applyFill="1" applyBorder="1" applyAlignment="1">
      <alignment horizontal="left"/>
    </xf>
    <xf numFmtId="0" fontId="7" fillId="9" borderId="17" xfId="3" applyNumberFormat="1" applyFont="1" applyFill="1" applyBorder="1" applyAlignment="1" applyProtection="1">
      <alignment horizontal="center" vertical="center"/>
      <protection locked="0"/>
    </xf>
    <xf numFmtId="168" fontId="1" fillId="5" borderId="0" xfId="3" applyNumberFormat="1" applyFill="1" applyAlignment="1">
      <alignment horizontal="left"/>
    </xf>
    <xf numFmtId="9" fontId="7" fillId="9" borderId="17" xfId="6" applyNumberFormat="1" applyFont="1" applyFill="1" applyBorder="1" applyAlignment="1" applyProtection="1">
      <alignment horizontal="center" vertical="center"/>
      <protection locked="0"/>
    </xf>
    <xf numFmtId="164" fontId="7" fillId="10" borderId="26" xfId="3" applyNumberFormat="1" applyFont="1" applyFill="1" applyBorder="1" applyAlignment="1">
      <alignment horizontal="left" wrapText="1"/>
    </xf>
    <xf numFmtId="168" fontId="10" fillId="9" borderId="17" xfId="3" applyNumberFormat="1" applyFont="1" applyFill="1" applyBorder="1" applyAlignment="1" applyProtection="1">
      <alignment horizontal="center" vertical="center"/>
      <protection locked="0"/>
    </xf>
    <xf numFmtId="169" fontId="7" fillId="9" borderId="21" xfId="3" applyNumberFormat="1" applyFont="1" applyFill="1" applyBorder="1" applyAlignment="1" applyProtection="1">
      <alignment horizontal="center" vertical="center"/>
      <protection locked="0"/>
    </xf>
    <xf numFmtId="0" fontId="10" fillId="8" borderId="27" xfId="3" applyFont="1" applyFill="1" applyBorder="1" applyAlignment="1">
      <alignment horizontal="left"/>
    </xf>
    <xf numFmtId="9" fontId="1" fillId="5" borderId="0" xfId="6" applyFont="1" applyFill="1"/>
    <xf numFmtId="44" fontId="1" fillId="5" borderId="0" xfId="3" applyNumberFormat="1" applyFill="1"/>
    <xf numFmtId="164" fontId="1" fillId="5" borderId="0" xfId="3" applyNumberFormat="1" applyFill="1"/>
    <xf numFmtId="0" fontId="11" fillId="8" borderId="16" xfId="3" applyFont="1" applyFill="1" applyBorder="1" applyAlignment="1">
      <alignment horizontal="right"/>
    </xf>
    <xf numFmtId="0" fontId="7" fillId="8" borderId="30" xfId="3" applyFont="1" applyFill="1" applyBorder="1" applyAlignment="1">
      <alignment vertical="top" wrapText="1"/>
    </xf>
    <xf numFmtId="168" fontId="7" fillId="9" borderId="17" xfId="3" applyNumberFormat="1" applyFont="1" applyFill="1" applyBorder="1" applyAlignment="1" applyProtection="1">
      <alignment horizontal="center"/>
      <protection locked="0"/>
    </xf>
    <xf numFmtId="0" fontId="12" fillId="8" borderId="16" xfId="3" applyFont="1" applyFill="1" applyBorder="1" applyAlignment="1">
      <alignment horizontal="right"/>
    </xf>
    <xf numFmtId="5" fontId="7" fillId="9" borderId="17" xfId="3" applyNumberFormat="1" applyFont="1" applyFill="1" applyBorder="1" applyAlignment="1" applyProtection="1">
      <alignment horizontal="center"/>
      <protection locked="0"/>
    </xf>
    <xf numFmtId="5" fontId="7" fillId="9" borderId="29" xfId="3" applyNumberFormat="1" applyFont="1" applyFill="1" applyBorder="1" applyAlignment="1" applyProtection="1">
      <alignment horizontal="center" vertical="center"/>
      <protection locked="0"/>
    </xf>
    <xf numFmtId="0" fontId="7" fillId="8" borderId="16" xfId="3" applyFont="1" applyFill="1" applyBorder="1" applyAlignment="1">
      <alignment horizontal="left"/>
    </xf>
    <xf numFmtId="9" fontId="7" fillId="9" borderId="17" xfId="3" applyNumberFormat="1" applyFont="1" applyFill="1" applyBorder="1" applyAlignment="1">
      <alignment horizontal="center" vertical="center"/>
    </xf>
    <xf numFmtId="0" fontId="7" fillId="8" borderId="20" xfId="3" applyFont="1" applyFill="1" applyBorder="1" applyAlignment="1">
      <alignment horizontal="left"/>
    </xf>
    <xf numFmtId="0" fontId="7" fillId="9" borderId="21" xfId="3" applyNumberFormat="1" applyFont="1" applyFill="1" applyBorder="1" applyAlignment="1" applyProtection="1">
      <alignment horizontal="center" vertical="center"/>
      <protection locked="0"/>
    </xf>
    <xf numFmtId="9" fontId="1" fillId="10" borderId="19" xfId="6" applyFont="1" applyFill="1" applyBorder="1" applyAlignment="1">
      <alignment horizontal="center" vertical="center"/>
    </xf>
    <xf numFmtId="9" fontId="1" fillId="10" borderId="31" xfId="6" applyFont="1" applyFill="1" applyBorder="1" applyAlignment="1">
      <alignment horizontal="center" vertical="center"/>
    </xf>
    <xf numFmtId="0" fontId="5" fillId="5" borderId="0" xfId="3" applyFont="1" applyFill="1" applyAlignment="1">
      <alignment horizontal="left" vertical="center"/>
    </xf>
    <xf numFmtId="165" fontId="1" fillId="5" borderId="0" xfId="3" applyNumberFormat="1" applyFill="1"/>
    <xf numFmtId="0" fontId="1" fillId="5" borderId="32" xfId="3" applyFont="1" applyFill="1" applyBorder="1" applyAlignment="1">
      <alignment horizontal="left" vertical="center"/>
    </xf>
    <xf numFmtId="165" fontId="9" fillId="10" borderId="0" xfId="3" applyNumberFormat="1" applyFont="1" applyFill="1" applyBorder="1"/>
    <xf numFmtId="0" fontId="8" fillId="7" borderId="37" xfId="3" applyFont="1" applyFill="1" applyBorder="1" applyAlignment="1">
      <alignment horizontal="center" vertical="center"/>
    </xf>
    <xf numFmtId="43" fontId="1" fillId="10" borderId="31" xfId="4" applyFont="1" applyFill="1" applyBorder="1" applyAlignment="1">
      <alignment horizontal="center" vertical="center"/>
    </xf>
    <xf numFmtId="0" fontId="3" fillId="4" borderId="11" xfId="2" applyFont="1" applyBorder="1" applyAlignment="1">
      <alignment horizontal="left" vertical="center"/>
    </xf>
    <xf numFmtId="165" fontId="3" fillId="4" borderId="12" xfId="2" applyNumberFormat="1" applyFont="1" applyBorder="1" applyAlignment="1">
      <alignment horizontal="center" vertical="center"/>
    </xf>
    <xf numFmtId="9" fontId="3" fillId="4" borderId="13" xfId="2" applyNumberFormat="1" applyFont="1" applyBorder="1" applyAlignment="1">
      <alignment horizontal="center" vertical="center"/>
    </xf>
    <xf numFmtId="9" fontId="3" fillId="4" borderId="37" xfId="2" applyNumberFormat="1" applyFont="1" applyBorder="1" applyAlignment="1">
      <alignment horizontal="center" vertical="center"/>
    </xf>
    <xf numFmtId="0" fontId="5" fillId="5" borderId="0" xfId="3" applyFont="1" applyFill="1" applyAlignment="1">
      <alignment horizontal="left" vertical="center"/>
    </xf>
    <xf numFmtId="0" fontId="1" fillId="5" borderId="0" xfId="3" applyFill="1" applyBorder="1"/>
    <xf numFmtId="0" fontId="1" fillId="5" borderId="27" xfId="3" applyFont="1" applyFill="1" applyBorder="1"/>
    <xf numFmtId="168" fontId="1" fillId="12" borderId="38" xfId="3" applyNumberFormat="1" applyFill="1" applyBorder="1"/>
    <xf numFmtId="0" fontId="1" fillId="5" borderId="39" xfId="3" applyFont="1" applyFill="1" applyBorder="1"/>
    <xf numFmtId="10" fontId="14" fillId="12" borderId="17" xfId="6" applyNumberFormat="1" applyFont="1" applyFill="1" applyBorder="1"/>
    <xf numFmtId="0" fontId="1" fillId="5" borderId="16" xfId="3" applyFont="1" applyFill="1" applyBorder="1"/>
    <xf numFmtId="0" fontId="13" fillId="11" borderId="40" xfId="3" applyFont="1" applyFill="1" applyBorder="1" applyAlignment="1">
      <alignment horizontal="left"/>
    </xf>
    <xf numFmtId="0" fontId="13" fillId="11" borderId="41" xfId="3" applyFont="1" applyFill="1" applyBorder="1" applyAlignment="1">
      <alignment horizontal="left"/>
    </xf>
    <xf numFmtId="0" fontId="7" fillId="8" borderId="27" xfId="3" applyFont="1" applyFill="1" applyBorder="1" applyAlignment="1">
      <alignment horizontal="left"/>
    </xf>
    <xf numFmtId="165" fontId="14" fillId="12" borderId="38" xfId="3" applyNumberFormat="1" applyFont="1" applyFill="1" applyBorder="1"/>
    <xf numFmtId="0" fontId="1" fillId="5" borderId="20" xfId="3" applyFont="1" applyFill="1" applyBorder="1"/>
    <xf numFmtId="10" fontId="14" fillId="12" borderId="21" xfId="6" applyNumberFormat="1" applyFont="1" applyFill="1" applyBorder="1"/>
    <xf numFmtId="0" fontId="15" fillId="5" borderId="0" xfId="3" applyFont="1" applyFill="1" applyBorder="1"/>
    <xf numFmtId="0" fontId="17" fillId="10" borderId="0" xfId="7" applyFont="1" applyFill="1" applyBorder="1"/>
    <xf numFmtId="0" fontId="17" fillId="0" borderId="0" xfId="7" applyFont="1" applyBorder="1"/>
    <xf numFmtId="0" fontId="6" fillId="8" borderId="16" xfId="3" applyFont="1" applyFill="1" applyBorder="1" applyAlignment="1">
      <alignment horizontal="left"/>
    </xf>
    <xf numFmtId="0" fontId="3" fillId="13" borderId="27" xfId="3" applyFont="1" applyFill="1" applyBorder="1" applyAlignment="1">
      <alignment horizontal="center"/>
    </xf>
    <xf numFmtId="0" fontId="3" fillId="13" borderId="28" xfId="3" applyFont="1" applyFill="1" applyBorder="1" applyAlignment="1">
      <alignment horizontal="center"/>
    </xf>
    <xf numFmtId="164" fontId="6" fillId="10" borderId="26" xfId="3" applyNumberFormat="1" applyFont="1" applyFill="1" applyBorder="1" applyAlignment="1">
      <alignment vertical="center" wrapText="1"/>
    </xf>
    <xf numFmtId="0" fontId="6" fillId="8" borderId="42" xfId="3" applyFont="1" applyFill="1" applyBorder="1" applyAlignment="1">
      <alignment horizontal="left"/>
    </xf>
    <xf numFmtId="0" fontId="7" fillId="9" borderId="21" xfId="3" applyNumberFormat="1" applyFont="1" applyFill="1" applyBorder="1" applyAlignment="1" applyProtection="1">
      <alignment horizontal="center"/>
      <protection locked="0"/>
    </xf>
    <xf numFmtId="164" fontId="6" fillId="6" borderId="2" xfId="3" applyNumberFormat="1" applyFont="1" applyFill="1" applyBorder="1" applyAlignment="1">
      <alignment horizontal="center" vertical="center"/>
    </xf>
    <xf numFmtId="164" fontId="6" fillId="6" borderId="3" xfId="3" applyNumberFormat="1" applyFont="1" applyFill="1" applyBorder="1" applyAlignment="1">
      <alignment horizontal="center" vertical="center"/>
    </xf>
    <xf numFmtId="0" fontId="7" fillId="10" borderId="43" xfId="3" applyFont="1" applyFill="1" applyBorder="1" applyAlignment="1">
      <alignment horizontal="left"/>
    </xf>
    <xf numFmtId="168" fontId="7" fillId="9" borderId="10" xfId="3" applyNumberFormat="1" applyFont="1" applyFill="1" applyBorder="1" applyAlignment="1" applyProtection="1">
      <alignment horizontal="center"/>
      <protection locked="0"/>
    </xf>
    <xf numFmtId="164" fontId="7" fillId="10" borderId="26" xfId="3" applyNumberFormat="1" applyFont="1" applyFill="1" applyBorder="1" applyAlignment="1">
      <alignment horizontal="left" vertical="center" wrapText="1"/>
    </xf>
    <xf numFmtId="9" fontId="7" fillId="9" borderId="17" xfId="3" applyNumberFormat="1" applyFont="1" applyFill="1" applyBorder="1" applyAlignment="1" applyProtection="1">
      <alignment horizontal="center" vertical="center"/>
      <protection locked="0"/>
    </xf>
    <xf numFmtId="164" fontId="7" fillId="10" borderId="26" xfId="3" applyNumberFormat="1" applyFont="1" applyFill="1" applyBorder="1" applyAlignment="1"/>
    <xf numFmtId="164" fontId="7" fillId="10" borderId="42" xfId="3" applyNumberFormat="1" applyFont="1" applyFill="1" applyBorder="1" applyAlignment="1">
      <alignment vertical="center" wrapText="1"/>
    </xf>
    <xf numFmtId="9" fontId="7" fillId="9" borderId="21" xfId="3" applyNumberFormat="1" applyFont="1" applyFill="1" applyBorder="1" applyAlignment="1" applyProtection="1">
      <alignment horizontal="center" vertical="center"/>
      <protection locked="0"/>
    </xf>
    <xf numFmtId="0" fontId="6" fillId="6" borderId="2" xfId="3" applyFont="1" applyFill="1" applyBorder="1" applyAlignment="1">
      <alignment horizontal="center" vertical="center"/>
    </xf>
    <xf numFmtId="0" fontId="6" fillId="6" borderId="3" xfId="3" applyFont="1" applyFill="1" applyBorder="1" applyAlignment="1">
      <alignment horizontal="center" vertical="center"/>
    </xf>
    <xf numFmtId="164" fontId="7" fillId="10" borderId="26" xfId="3" applyNumberFormat="1" applyFont="1" applyFill="1" applyBorder="1" applyAlignment="1">
      <alignment vertical="center" wrapText="1"/>
    </xf>
    <xf numFmtId="0" fontId="7" fillId="8" borderId="42" xfId="3" applyFont="1" applyFill="1" applyBorder="1" applyAlignment="1">
      <alignment horizontal="left"/>
    </xf>
    <xf numFmtId="5" fontId="7" fillId="9" borderId="21" xfId="3" applyNumberFormat="1" applyFont="1" applyFill="1" applyBorder="1" applyAlignment="1" applyProtection="1">
      <alignment horizontal="center"/>
      <protection locked="0"/>
    </xf>
    <xf numFmtId="0" fontId="1" fillId="5" borderId="0" xfId="3" applyFill="1" applyAlignment="1"/>
    <xf numFmtId="0" fontId="5" fillId="5" borderId="0" xfId="3" applyFont="1" applyFill="1" applyAlignment="1"/>
    <xf numFmtId="0" fontId="3" fillId="7" borderId="45" xfId="3" applyFont="1" applyFill="1" applyBorder="1" applyAlignment="1">
      <alignment horizontal="center" vertical="center"/>
    </xf>
    <xf numFmtId="0" fontId="8" fillId="7" borderId="46" xfId="3" applyFont="1" applyFill="1" applyBorder="1" applyAlignment="1">
      <alignment horizontal="center" vertical="center"/>
    </xf>
    <xf numFmtId="165" fontId="1" fillId="5" borderId="0" xfId="3" applyNumberFormat="1" applyFill="1" applyAlignment="1"/>
    <xf numFmtId="0" fontId="3" fillId="5" borderId="32" xfId="3" applyFont="1" applyFill="1" applyBorder="1" applyAlignment="1">
      <alignment horizontal="left" vertical="center"/>
    </xf>
    <xf numFmtId="0" fontId="9" fillId="10" borderId="0" xfId="3" applyFont="1" applyFill="1" applyBorder="1"/>
    <xf numFmtId="0" fontId="1" fillId="5" borderId="0" xfId="3" applyFont="1" applyFill="1"/>
    <xf numFmtId="1" fontId="9" fillId="10" borderId="0" xfId="3" applyNumberFormat="1" applyFont="1" applyFill="1" applyBorder="1"/>
    <xf numFmtId="164" fontId="7" fillId="10" borderId="0" xfId="3" applyNumberFormat="1" applyFont="1" applyFill="1" applyBorder="1" applyAlignment="1">
      <alignment vertical="center"/>
    </xf>
    <xf numFmtId="0" fontId="6" fillId="6" borderId="22" xfId="3" applyFont="1" applyFill="1" applyBorder="1" applyAlignment="1">
      <alignment horizontal="center" vertical="center"/>
    </xf>
    <xf numFmtId="0" fontId="6" fillId="6" borderId="23" xfId="3" applyFont="1" applyFill="1" applyBorder="1" applyAlignment="1">
      <alignment horizontal="center" vertical="center"/>
    </xf>
    <xf numFmtId="164" fontId="6" fillId="8" borderId="47" xfId="3" applyNumberFormat="1" applyFont="1" applyFill="1" applyBorder="1" applyAlignment="1">
      <alignment vertical="center" wrapText="1"/>
    </xf>
    <xf numFmtId="3" fontId="7" fillId="9" borderId="48" xfId="3" applyNumberFormat="1" applyFont="1" applyFill="1" applyBorder="1" applyAlignment="1" applyProtection="1">
      <alignment horizontal="center" vertical="center"/>
      <protection locked="0"/>
    </xf>
    <xf numFmtId="164" fontId="7" fillId="9" borderId="48" xfId="3" applyNumberFormat="1" applyFont="1" applyFill="1" applyBorder="1" applyAlignment="1" applyProtection="1">
      <alignment horizontal="center" vertical="center"/>
      <protection locked="0"/>
    </xf>
    <xf numFmtId="164" fontId="6" fillId="8" borderId="49" xfId="3" applyNumberFormat="1" applyFont="1" applyFill="1" applyBorder="1" applyAlignment="1">
      <alignment vertical="center" wrapText="1"/>
    </xf>
    <xf numFmtId="167" fontId="7" fillId="9" borderId="15" xfId="6" applyNumberFormat="1" applyFont="1" applyFill="1" applyBorder="1" applyAlignment="1" applyProtection="1">
      <alignment horizontal="center" vertical="center"/>
      <protection locked="0"/>
    </xf>
    <xf numFmtId="164" fontId="6" fillId="6" borderId="22" xfId="3" applyNumberFormat="1" applyFont="1" applyFill="1" applyBorder="1" applyAlignment="1">
      <alignment horizontal="center" vertical="center"/>
    </xf>
    <xf numFmtId="164" fontId="6" fillId="6" borderId="23" xfId="3" applyNumberFormat="1" applyFont="1" applyFill="1" applyBorder="1" applyAlignment="1">
      <alignment horizontal="center" vertical="center"/>
    </xf>
    <xf numFmtId="0" fontId="6" fillId="10" borderId="32" xfId="3" applyFont="1" applyFill="1" applyBorder="1" applyAlignment="1">
      <alignment horizontal="left"/>
    </xf>
    <xf numFmtId="168" fontId="7" fillId="9" borderId="48" xfId="3" applyNumberFormat="1" applyFont="1" applyFill="1" applyBorder="1" applyAlignment="1" applyProtection="1">
      <alignment horizontal="center"/>
      <protection locked="0"/>
    </xf>
    <xf numFmtId="164" fontId="6" fillId="10" borderId="32" xfId="3" applyNumberFormat="1" applyFont="1" applyFill="1" applyBorder="1" applyAlignment="1">
      <alignment horizontal="left"/>
    </xf>
    <xf numFmtId="0" fontId="7" fillId="9" borderId="48" xfId="3" applyNumberFormat="1" applyFont="1" applyFill="1" applyBorder="1" applyAlignment="1" applyProtection="1">
      <alignment horizontal="center" vertical="center"/>
      <protection locked="0"/>
    </xf>
    <xf numFmtId="164" fontId="6" fillId="10" borderId="32" xfId="3" applyNumberFormat="1" applyFont="1" applyFill="1" applyBorder="1" applyAlignment="1">
      <alignment vertical="center" wrapText="1"/>
    </xf>
    <xf numFmtId="9" fontId="7" fillId="9" borderId="48" xfId="3" applyNumberFormat="1" applyFont="1" applyFill="1" applyBorder="1" applyAlignment="1">
      <alignment horizontal="center" vertical="center"/>
    </xf>
    <xf numFmtId="0" fontId="6" fillId="10" borderId="11" xfId="3" applyFont="1" applyFill="1" applyBorder="1" applyAlignment="1">
      <alignment horizontal="left"/>
    </xf>
    <xf numFmtId="166" fontId="7" fillId="9" borderId="15" xfId="3" applyNumberFormat="1" applyFont="1" applyFill="1" applyBorder="1" applyAlignment="1" applyProtection="1">
      <alignment horizontal="center"/>
      <protection locked="0"/>
    </xf>
    <xf numFmtId="0" fontId="6" fillId="6" borderId="50" xfId="3" applyFont="1" applyFill="1" applyBorder="1" applyAlignment="1">
      <alignment horizontal="center" vertical="center"/>
    </xf>
    <xf numFmtId="0" fontId="6" fillId="6" borderId="51" xfId="3" applyFont="1" applyFill="1" applyBorder="1" applyAlignment="1">
      <alignment horizontal="center" vertical="center"/>
    </xf>
    <xf numFmtId="0" fontId="6" fillId="10" borderId="4" xfId="3" applyFont="1" applyFill="1" applyBorder="1" applyAlignment="1">
      <alignment horizontal="left"/>
    </xf>
    <xf numFmtId="168" fontId="7" fillId="9" borderId="8" xfId="3" applyNumberFormat="1" applyFont="1" applyFill="1" applyBorder="1" applyAlignment="1" applyProtection="1">
      <alignment horizontal="center"/>
      <protection locked="0"/>
    </xf>
    <xf numFmtId="164" fontId="6" fillId="10" borderId="32" xfId="3" applyNumberFormat="1" applyFont="1" applyFill="1" applyBorder="1" applyAlignment="1">
      <alignment horizontal="left" vertical="center" wrapText="1"/>
    </xf>
    <xf numFmtId="9" fontId="7" fillId="9" borderId="48" xfId="3" applyNumberFormat="1" applyFont="1" applyFill="1" applyBorder="1" applyAlignment="1" applyProtection="1">
      <alignment horizontal="center" vertical="center"/>
      <protection locked="0"/>
    </xf>
    <xf numFmtId="164" fontId="6" fillId="10" borderId="32" xfId="3" applyNumberFormat="1" applyFont="1" applyFill="1" applyBorder="1" applyAlignment="1"/>
    <xf numFmtId="164" fontId="6" fillId="10" borderId="11" xfId="3" applyNumberFormat="1" applyFont="1" applyFill="1" applyBorder="1" applyAlignment="1">
      <alignment vertical="center" wrapText="1"/>
    </xf>
    <xf numFmtId="9" fontId="7" fillId="9" borderId="15" xfId="3" applyNumberFormat="1" applyFont="1" applyFill="1" applyBorder="1" applyAlignment="1" applyProtection="1">
      <alignment horizontal="center" vertical="center"/>
      <protection locked="0"/>
    </xf>
    <xf numFmtId="0" fontId="6" fillId="8" borderId="11" xfId="3" applyFont="1" applyFill="1" applyBorder="1" applyAlignment="1">
      <alignment horizontal="left"/>
    </xf>
    <xf numFmtId="5" fontId="7" fillId="9" borderId="15" xfId="3" applyNumberFormat="1" applyFont="1" applyFill="1" applyBorder="1" applyAlignment="1" applyProtection="1">
      <alignment horizontal="center"/>
      <protection locked="0"/>
    </xf>
    <xf numFmtId="165" fontId="9" fillId="10" borderId="0" xfId="5" applyNumberFormat="1" applyFont="1" applyFill="1" applyBorder="1"/>
    <xf numFmtId="170" fontId="9" fillId="10" borderId="0" xfId="4" applyNumberFormat="1" applyFont="1" applyFill="1" applyBorder="1" applyAlignment="1">
      <alignment horizontal="center" vertical="center"/>
    </xf>
    <xf numFmtId="170" fontId="8" fillId="14" borderId="52" xfId="4" applyNumberFormat="1" applyFont="1" applyFill="1" applyBorder="1" applyAlignment="1">
      <alignment horizontal="right" vertical="center"/>
    </xf>
    <xf numFmtId="0" fontId="8" fillId="14" borderId="53" xfId="4" applyNumberFormat="1" applyFont="1" applyFill="1" applyBorder="1" applyAlignment="1">
      <alignment horizontal="center" vertical="center"/>
    </xf>
    <xf numFmtId="170" fontId="8" fillId="14" borderId="53" xfId="4" applyNumberFormat="1" applyFont="1" applyFill="1" applyBorder="1" applyAlignment="1">
      <alignment horizontal="center" vertical="center"/>
    </xf>
    <xf numFmtId="170" fontId="8" fillId="14" borderId="54" xfId="4" applyNumberFormat="1" applyFont="1" applyFill="1" applyBorder="1" applyAlignment="1">
      <alignment horizontal="center" vertical="center"/>
    </xf>
    <xf numFmtId="0" fontId="1" fillId="5" borderId="0" xfId="3" applyFill="1" applyAlignment="1">
      <alignment horizontal="center" vertical="center"/>
    </xf>
    <xf numFmtId="165" fontId="9" fillId="10" borderId="4" xfId="5" applyNumberFormat="1" applyFont="1" applyFill="1" applyBorder="1"/>
    <xf numFmtId="165" fontId="9" fillId="10" borderId="56" xfId="5" applyNumberFormat="1" applyFont="1" applyFill="1" applyBorder="1"/>
    <xf numFmtId="165" fontId="9" fillId="10" borderId="8" xfId="5" applyNumberFormat="1" applyFont="1" applyFill="1" applyBorder="1"/>
    <xf numFmtId="165" fontId="9" fillId="10" borderId="32" xfId="5" applyNumberFormat="1" applyFont="1" applyFill="1" applyBorder="1"/>
    <xf numFmtId="165" fontId="9" fillId="10" borderId="58" xfId="5" applyNumberFormat="1" applyFont="1" applyFill="1" applyBorder="1"/>
    <xf numFmtId="0" fontId="1" fillId="5" borderId="31" xfId="3" applyFill="1" applyBorder="1"/>
    <xf numFmtId="165" fontId="9" fillId="10" borderId="48" xfId="5" applyNumberFormat="1" applyFont="1" applyFill="1" applyBorder="1"/>
    <xf numFmtId="165" fontId="2" fillId="3" borderId="59" xfId="1" applyNumberFormat="1" applyFill="1" applyBorder="1" applyAlignment="1">
      <alignment horizontal="right" vertical="center"/>
    </xf>
    <xf numFmtId="165" fontId="2" fillId="3" borderId="60" xfId="1" applyNumberFormat="1" applyFill="1" applyBorder="1"/>
    <xf numFmtId="165" fontId="2" fillId="3" borderId="61" xfId="1" applyNumberFormat="1" applyFill="1" applyBorder="1"/>
    <xf numFmtId="165" fontId="2" fillId="15" borderId="62" xfId="1" applyNumberFormat="1" applyFill="1" applyBorder="1" applyAlignment="1">
      <alignment horizontal="right" vertical="center"/>
    </xf>
    <xf numFmtId="165" fontId="2" fillId="15" borderId="63" xfId="1" applyNumberFormat="1" applyFill="1" applyBorder="1"/>
    <xf numFmtId="165" fontId="9" fillId="9" borderId="0" xfId="5" applyNumberFormat="1" applyFont="1" applyFill="1" applyBorder="1"/>
    <xf numFmtId="165" fontId="9" fillId="9" borderId="31" xfId="5" applyNumberFormat="1" applyFont="1" applyFill="1" applyBorder="1"/>
    <xf numFmtId="165" fontId="2" fillId="15" borderId="65" xfId="1" applyNumberFormat="1" applyFill="1" applyBorder="1" applyAlignment="1">
      <alignment horizontal="right" vertical="center"/>
    </xf>
    <xf numFmtId="165" fontId="2" fillId="15" borderId="66" xfId="1" applyNumberFormat="1" applyFill="1" applyBorder="1"/>
    <xf numFmtId="165" fontId="9" fillId="9" borderId="14" xfId="5" applyNumberFormat="1" applyFont="1" applyFill="1" applyBorder="1"/>
    <xf numFmtId="165" fontId="9" fillId="9" borderId="37" xfId="5" applyNumberFormat="1" applyFont="1" applyFill="1" applyBorder="1"/>
    <xf numFmtId="170" fontId="8" fillId="14" borderId="52" xfId="4" applyNumberFormat="1" applyFont="1" applyFill="1" applyBorder="1" applyAlignment="1">
      <alignment horizontal="right"/>
    </xf>
    <xf numFmtId="171" fontId="8" fillId="14" borderId="53" xfId="4" applyNumberFormat="1" applyFont="1" applyFill="1" applyBorder="1"/>
    <xf numFmtId="171" fontId="8" fillId="14" borderId="54" xfId="4" applyNumberFormat="1" applyFont="1" applyFill="1" applyBorder="1"/>
    <xf numFmtId="165" fontId="9" fillId="8" borderId="58" xfId="5" applyNumberFormat="1" applyFont="1" applyFill="1" applyBorder="1"/>
    <xf numFmtId="165" fontId="2" fillId="15" borderId="59" xfId="1" applyNumberFormat="1" applyFill="1" applyBorder="1" applyAlignment="1">
      <alignment horizontal="right" vertical="center"/>
    </xf>
    <xf numFmtId="165" fontId="2" fillId="15" borderId="60" xfId="1" applyNumberFormat="1" applyFill="1" applyBorder="1"/>
    <xf numFmtId="165" fontId="2" fillId="15" borderId="61" xfId="1" applyNumberFormat="1" applyFill="1" applyBorder="1"/>
    <xf numFmtId="165" fontId="2" fillId="15" borderId="69" xfId="1" applyNumberFormat="1" applyFill="1" applyBorder="1" applyAlignment="1">
      <alignment horizontal="right" vertical="center"/>
    </xf>
    <xf numFmtId="10" fontId="2" fillId="15" borderId="0" xfId="6" applyNumberFormat="1" applyFont="1" applyFill="1" applyBorder="1" applyAlignment="1">
      <alignment horizontal="right" vertical="center"/>
    </xf>
    <xf numFmtId="165" fontId="2" fillId="15" borderId="0" xfId="1" applyNumberFormat="1" applyFill="1" applyBorder="1"/>
    <xf numFmtId="165" fontId="2" fillId="15" borderId="31" xfId="1" applyNumberFormat="1" applyFill="1" applyBorder="1"/>
    <xf numFmtId="165" fontId="2" fillId="15" borderId="32" xfId="1" applyNumberFormat="1" applyFill="1" applyBorder="1" applyAlignment="1">
      <alignment horizontal="right" vertical="center"/>
    </xf>
    <xf numFmtId="165" fontId="2" fillId="15" borderId="0" xfId="1" applyNumberFormat="1" applyFill="1" applyBorder="1" applyAlignment="1">
      <alignment horizontal="center" vertical="center"/>
    </xf>
    <xf numFmtId="165" fontId="2" fillId="15" borderId="11" xfId="1" applyNumberFormat="1" applyFill="1" applyBorder="1" applyAlignment="1">
      <alignment horizontal="right" vertical="center"/>
    </xf>
    <xf numFmtId="165" fontId="2" fillId="15" borderId="14" xfId="1" applyNumberFormat="1" applyFill="1" applyBorder="1" applyAlignment="1">
      <alignment horizontal="center" vertical="center"/>
    </xf>
    <xf numFmtId="165" fontId="2" fillId="15" borderId="14" xfId="1" applyNumberFormat="1" applyFill="1" applyBorder="1"/>
    <xf numFmtId="165" fontId="2" fillId="15" borderId="37" xfId="1" applyNumberFormat="1" applyFill="1" applyBorder="1"/>
    <xf numFmtId="164" fontId="6" fillId="6" borderId="50" xfId="3" applyNumberFormat="1" applyFont="1" applyFill="1" applyBorder="1" applyAlignment="1">
      <alignment horizontal="left" vertical="center"/>
    </xf>
    <xf numFmtId="164" fontId="6" fillId="6" borderId="51" xfId="3" applyNumberFormat="1" applyFont="1" applyFill="1" applyBorder="1" applyAlignment="1">
      <alignment horizontal="left" vertical="center"/>
    </xf>
    <xf numFmtId="0" fontId="3" fillId="5" borderId="0" xfId="3" applyFont="1" applyFill="1"/>
    <xf numFmtId="164" fontId="6" fillId="6" borderId="24" xfId="3" applyNumberFormat="1" applyFont="1" applyFill="1" applyBorder="1" applyAlignment="1">
      <alignment horizontal="left" vertical="center"/>
    </xf>
    <xf numFmtId="164" fontId="6" fillId="6" borderId="25" xfId="3" applyNumberFormat="1" applyFont="1" applyFill="1" applyBorder="1" applyAlignment="1">
      <alignment horizontal="left" vertical="center"/>
    </xf>
    <xf numFmtId="9" fontId="1" fillId="5" borderId="0" xfId="6" applyFont="1" applyFill="1" applyAlignment="1">
      <alignment horizontal="left"/>
    </xf>
    <xf numFmtId="0" fontId="7" fillId="8" borderId="9" xfId="3" applyFont="1" applyFill="1" applyBorder="1" applyAlignment="1">
      <alignment horizontal="left"/>
    </xf>
    <xf numFmtId="0" fontId="1" fillId="5" borderId="0" xfId="3" applyFill="1" applyAlignment="1">
      <alignment horizontal="left"/>
    </xf>
    <xf numFmtId="165" fontId="7" fillId="8" borderId="16" xfId="3" applyNumberFormat="1" applyFont="1" applyFill="1" applyBorder="1" applyAlignment="1">
      <alignment horizontal="left"/>
    </xf>
    <xf numFmtId="0" fontId="1" fillId="5" borderId="0" xfId="3" applyFill="1" applyAlignment="1">
      <alignment horizontal="right"/>
    </xf>
    <xf numFmtId="0" fontId="7" fillId="8" borderId="30" xfId="3" applyFont="1" applyFill="1" applyBorder="1" applyAlignment="1">
      <alignment vertical="top"/>
    </xf>
    <xf numFmtId="9" fontId="1" fillId="5" borderId="0" xfId="6" applyNumberFormat="1" applyFont="1" applyFill="1" applyAlignment="1">
      <alignment horizontal="right"/>
    </xf>
    <xf numFmtId="168" fontId="1" fillId="5" borderId="0" xfId="3" applyNumberFormat="1" applyFill="1"/>
    <xf numFmtId="9" fontId="1" fillId="5" borderId="0" xfId="6" applyFont="1" applyFill="1" applyAlignment="1">
      <alignment horizontal="right"/>
    </xf>
    <xf numFmtId="165" fontId="2" fillId="5" borderId="0" xfId="1" applyNumberFormat="1" applyFill="1" applyBorder="1"/>
    <xf numFmtId="165" fontId="8" fillId="8" borderId="0" xfId="5" applyNumberFormat="1" applyFont="1" applyFill="1" applyBorder="1" applyAlignment="1">
      <alignment horizontal="center" vertical="center" textRotation="90"/>
    </xf>
    <xf numFmtId="165" fontId="2" fillId="5" borderId="0" xfId="1" applyNumberFormat="1" applyFill="1" applyBorder="1" applyAlignment="1">
      <alignment horizontal="right" vertical="center"/>
    </xf>
    <xf numFmtId="1" fontId="1" fillId="5" borderId="0" xfId="4" applyNumberFormat="1" applyFont="1" applyFill="1" applyAlignment="1">
      <alignment horizontal="center" vertical="center"/>
    </xf>
    <xf numFmtId="170" fontId="1" fillId="5" borderId="0" xfId="4" applyNumberFormat="1" applyFont="1" applyFill="1" applyAlignment="1">
      <alignment horizontal="left" vertical="center"/>
    </xf>
    <xf numFmtId="170" fontId="1" fillId="5" borderId="0" xfId="4" applyNumberFormat="1" applyFont="1" applyFill="1" applyAlignment="1">
      <alignment horizontal="center" vertical="center"/>
    </xf>
    <xf numFmtId="170" fontId="20" fillId="7" borderId="72" xfId="4" applyNumberFormat="1" applyFont="1" applyFill="1" applyBorder="1" applyAlignment="1">
      <alignment horizontal="center" vertical="center" wrapText="1"/>
    </xf>
    <xf numFmtId="170" fontId="21" fillId="7" borderId="72" xfId="4" applyNumberFormat="1" applyFont="1" applyFill="1" applyBorder="1" applyAlignment="1">
      <alignment horizontal="center" vertical="center" wrapText="1"/>
    </xf>
    <xf numFmtId="0" fontId="14" fillId="5" borderId="0" xfId="3" applyFont="1" applyFill="1" applyAlignment="1">
      <alignment wrapText="1"/>
    </xf>
    <xf numFmtId="170" fontId="1" fillId="12" borderId="73" xfId="4" applyNumberFormat="1" applyFont="1" applyFill="1" applyBorder="1" applyAlignment="1">
      <alignment horizontal="center" vertical="top"/>
    </xf>
    <xf numFmtId="170" fontId="1" fillId="12" borderId="74" xfId="4" applyNumberFormat="1" applyFont="1" applyFill="1" applyBorder="1" applyAlignment="1">
      <alignment horizontal="center" vertical="top"/>
    </xf>
    <xf numFmtId="170" fontId="1" fillId="12" borderId="75" xfId="4" applyNumberFormat="1" applyFont="1" applyFill="1" applyBorder="1" applyAlignment="1">
      <alignment horizontal="center" vertical="top"/>
    </xf>
    <xf numFmtId="170" fontId="22" fillId="12" borderId="75" xfId="4" applyNumberFormat="1" applyFont="1" applyFill="1" applyBorder="1" applyAlignment="1">
      <alignment horizontal="center" vertical="top"/>
    </xf>
    <xf numFmtId="170" fontId="1" fillId="5" borderId="0" xfId="4" applyNumberFormat="1" applyFont="1" applyFill="1" applyAlignment="1">
      <alignment horizontal="center" vertical="top"/>
    </xf>
    <xf numFmtId="170" fontId="1" fillId="12" borderId="76" xfId="4" applyNumberFormat="1" applyFont="1" applyFill="1" applyBorder="1" applyAlignment="1">
      <alignment horizontal="center" vertical="top"/>
    </xf>
    <xf numFmtId="170" fontId="1" fillId="12" borderId="77" xfId="4" applyNumberFormat="1" applyFont="1" applyFill="1" applyBorder="1" applyAlignment="1">
      <alignment horizontal="center" vertical="top"/>
    </xf>
    <xf numFmtId="170" fontId="3" fillId="12" borderId="77" xfId="4" applyNumberFormat="1" applyFont="1" applyFill="1" applyBorder="1" applyAlignment="1">
      <alignment horizontal="left" vertical="top"/>
    </xf>
    <xf numFmtId="170" fontId="22" fillId="12" borderId="77" xfId="4" applyNumberFormat="1" applyFont="1" applyFill="1" applyBorder="1" applyAlignment="1">
      <alignment horizontal="center" vertical="top"/>
    </xf>
    <xf numFmtId="170" fontId="1" fillId="12" borderId="78" xfId="4" applyNumberFormat="1" applyFont="1" applyFill="1" applyBorder="1" applyAlignment="1">
      <alignment horizontal="center" vertical="top"/>
    </xf>
    <xf numFmtId="170" fontId="1" fillId="12" borderId="79" xfId="4" applyNumberFormat="1" applyFont="1" applyFill="1" applyBorder="1" applyAlignment="1">
      <alignment horizontal="center" vertical="top"/>
    </xf>
    <xf numFmtId="170" fontId="1" fillId="12" borderId="80" xfId="4" applyNumberFormat="1" applyFont="1" applyFill="1" applyBorder="1" applyAlignment="1">
      <alignment horizontal="center" vertical="top"/>
    </xf>
    <xf numFmtId="170" fontId="22" fillId="12" borderId="80" xfId="4" applyNumberFormat="1" applyFont="1" applyFill="1" applyBorder="1" applyAlignment="1">
      <alignment horizontal="center" vertical="top"/>
    </xf>
    <xf numFmtId="170" fontId="1" fillId="0" borderId="81" xfId="4" applyNumberFormat="1" applyFont="1" applyFill="1" applyBorder="1" applyAlignment="1">
      <alignment horizontal="center" vertical="top"/>
    </xf>
    <xf numFmtId="166" fontId="23" fillId="16" borderId="82" xfId="4" applyNumberFormat="1" applyFont="1" applyFill="1" applyBorder="1" applyAlignment="1">
      <alignment horizontal="center" vertical="center"/>
    </xf>
    <xf numFmtId="9" fontId="23" fillId="16" borderId="82" xfId="6" applyFont="1" applyFill="1" applyBorder="1" applyAlignment="1">
      <alignment horizontal="center" vertical="top"/>
    </xf>
    <xf numFmtId="170" fontId="4" fillId="0" borderId="0" xfId="4" applyNumberFormat="1" applyFont="1" applyFill="1" applyAlignment="1">
      <alignment horizontal="center" vertical="top"/>
    </xf>
    <xf numFmtId="170" fontId="14" fillId="5" borderId="76" xfId="4" applyNumberFormat="1" applyFont="1" applyFill="1" applyBorder="1" applyAlignment="1">
      <alignment horizontal="center" vertical="top"/>
    </xf>
    <xf numFmtId="170" fontId="1" fillId="0" borderId="76" xfId="4" applyNumberFormat="1" applyFont="1" applyFill="1" applyBorder="1" applyAlignment="1">
      <alignment horizontal="center" vertical="top"/>
    </xf>
    <xf numFmtId="166" fontId="21" fillId="16" borderId="76" xfId="4" applyNumberFormat="1" applyFont="1" applyFill="1" applyBorder="1" applyAlignment="1">
      <alignment horizontal="center" vertical="center"/>
    </xf>
    <xf numFmtId="9" fontId="23" fillId="16" borderId="76" xfId="6" applyFont="1" applyFill="1" applyBorder="1" applyAlignment="1">
      <alignment horizontal="center" vertical="top"/>
    </xf>
    <xf numFmtId="170" fontId="14" fillId="5" borderId="0" xfId="4" applyNumberFormat="1" applyFont="1" applyFill="1" applyAlignment="1">
      <alignment horizontal="center" vertical="top"/>
    </xf>
    <xf numFmtId="0" fontId="14" fillId="5" borderId="0" xfId="3" applyFont="1" applyFill="1"/>
    <xf numFmtId="170" fontId="14" fillId="5" borderId="83" xfId="4" applyNumberFormat="1" applyFont="1" applyFill="1" applyBorder="1" applyAlignment="1">
      <alignment horizontal="center" vertical="top"/>
    </xf>
    <xf numFmtId="170" fontId="1" fillId="0" borderId="83" xfId="4" applyNumberFormat="1" applyFont="1" applyFill="1" applyBorder="1" applyAlignment="1">
      <alignment horizontal="center" vertical="top"/>
    </xf>
    <xf numFmtId="166" fontId="21" fillId="16" borderId="83" xfId="4" applyNumberFormat="1" applyFont="1" applyFill="1" applyBorder="1" applyAlignment="1">
      <alignment horizontal="center" vertical="center"/>
    </xf>
    <xf numFmtId="9" fontId="23" fillId="16" borderId="83" xfId="6" applyFont="1" applyFill="1" applyBorder="1" applyAlignment="1">
      <alignment horizontal="center" vertical="top"/>
    </xf>
    <xf numFmtId="171" fontId="1" fillId="5" borderId="0" xfId="4" applyNumberFormat="1" applyFont="1" applyFill="1" applyAlignment="1">
      <alignment horizontal="center" vertical="center"/>
    </xf>
    <xf numFmtId="170" fontId="1" fillId="5" borderId="0" xfId="4" applyNumberFormat="1" applyFont="1" applyFill="1" applyBorder="1" applyAlignment="1">
      <alignment horizontal="center" vertical="center"/>
    </xf>
    <xf numFmtId="1" fontId="1" fillId="5" borderId="0" xfId="4" applyNumberFormat="1" applyFont="1" applyFill="1" applyBorder="1" applyAlignment="1">
      <alignment horizontal="center" vertical="center"/>
    </xf>
    <xf numFmtId="170" fontId="1" fillId="5" borderId="0" xfId="3" applyNumberFormat="1" applyFill="1"/>
    <xf numFmtId="9" fontId="1" fillId="5" borderId="0" xfId="6" applyFont="1" applyFill="1" applyAlignment="1">
      <alignment horizontal="center" vertical="center"/>
    </xf>
    <xf numFmtId="9" fontId="1" fillId="5" borderId="0" xfId="6" applyFont="1" applyFill="1" applyAlignment="1">
      <alignment horizontal="right" vertical="center"/>
    </xf>
    <xf numFmtId="9" fontId="24" fillId="5" borderId="0" xfId="6" applyFont="1" applyFill="1" applyBorder="1" applyAlignment="1">
      <alignment horizontal="center" vertical="center"/>
    </xf>
    <xf numFmtId="2" fontId="14" fillId="5" borderId="0" xfId="4" applyNumberFormat="1" applyFont="1" applyFill="1" applyBorder="1" applyAlignment="1">
      <alignment horizontal="center" vertical="top"/>
    </xf>
    <xf numFmtId="1" fontId="1" fillId="5" borderId="0" xfId="3" applyNumberFormat="1" applyFill="1" applyBorder="1"/>
    <xf numFmtId="1" fontId="1" fillId="5" borderId="0" xfId="3" applyNumberFormat="1" applyFill="1"/>
    <xf numFmtId="43" fontId="1" fillId="5" borderId="0" xfId="4" applyNumberFormat="1" applyFont="1" applyFill="1" applyAlignment="1">
      <alignment horizontal="center" vertical="center"/>
    </xf>
    <xf numFmtId="2" fontId="14" fillId="5" borderId="0" xfId="4" applyNumberFormat="1" applyFont="1" applyFill="1" applyBorder="1" applyAlignment="1">
      <alignment horizontal="center" vertical="center"/>
    </xf>
    <xf numFmtId="170" fontId="1" fillId="5" borderId="0" xfId="4" applyNumberFormat="1" applyFont="1" applyFill="1" applyAlignment="1">
      <alignment horizontal="right" vertical="center"/>
    </xf>
    <xf numFmtId="170" fontId="1" fillId="5" borderId="0" xfId="3" applyNumberFormat="1" applyFill="1" applyAlignment="1">
      <alignment horizontal="right"/>
    </xf>
    <xf numFmtId="1" fontId="1" fillId="5" borderId="0" xfId="3" applyNumberFormat="1" applyFill="1" applyAlignment="1">
      <alignment textRotation="90"/>
    </xf>
    <xf numFmtId="9" fontId="1" fillId="5" borderId="0" xfId="3" applyNumberFormat="1" applyFill="1"/>
    <xf numFmtId="0" fontId="0" fillId="12" borderId="11" xfId="2" applyFont="1" applyFill="1" applyBorder="1" applyAlignment="1">
      <alignment horizontal="left" vertical="center" wrapText="1"/>
    </xf>
    <xf numFmtId="165" fontId="1" fillId="12" borderId="12" xfId="2" applyNumberFormat="1" applyFont="1" applyFill="1" applyBorder="1" applyAlignment="1">
      <alignment horizontal="center" vertical="center"/>
    </xf>
    <xf numFmtId="9" fontId="1" fillId="12" borderId="13" xfId="2" applyNumberFormat="1" applyFont="1" applyFill="1" applyBorder="1" applyAlignment="1">
      <alignment horizontal="center" vertical="center"/>
    </xf>
    <xf numFmtId="9" fontId="1" fillId="12" borderId="14" xfId="2" applyNumberFormat="1" applyFont="1" applyFill="1" applyBorder="1" applyAlignment="1">
      <alignment horizontal="center" vertical="center"/>
    </xf>
    <xf numFmtId="164" fontId="7" fillId="8" borderId="49" xfId="3" applyNumberFormat="1" applyFont="1" applyFill="1" applyBorder="1" applyAlignment="1">
      <alignment vertical="center" wrapText="1"/>
    </xf>
    <xf numFmtId="0" fontId="0" fillId="5" borderId="0" xfId="3" applyFont="1" applyFill="1"/>
    <xf numFmtId="43" fontId="0" fillId="10" borderId="5" xfId="4" applyFont="1" applyFill="1" applyBorder="1" applyAlignment="1">
      <alignment horizontal="center" vertical="center"/>
    </xf>
    <xf numFmtId="43" fontId="0" fillId="10" borderId="8" xfId="4" applyFont="1" applyFill="1" applyBorder="1" applyAlignment="1">
      <alignment horizontal="center" vertical="center"/>
    </xf>
    <xf numFmtId="0" fontId="10" fillId="8" borderId="16" xfId="3" applyFont="1" applyFill="1" applyBorder="1" applyAlignment="1">
      <alignment horizontal="left"/>
    </xf>
    <xf numFmtId="5" fontId="7" fillId="9" borderId="21" xfId="3" applyNumberFormat="1" applyFont="1" applyFill="1" applyBorder="1" applyAlignment="1" applyProtection="1">
      <alignment horizontal="center" vertical="center"/>
      <protection locked="0"/>
    </xf>
    <xf numFmtId="0" fontId="25" fillId="5" borderId="0" xfId="3" applyFont="1" applyFill="1"/>
    <xf numFmtId="0" fontId="26" fillId="5" borderId="0" xfId="3" applyFont="1" applyFill="1"/>
    <xf numFmtId="0" fontId="27" fillId="5" borderId="0" xfId="3" applyFont="1" applyFill="1"/>
    <xf numFmtId="0" fontId="28" fillId="5" borderId="0" xfId="3" applyFont="1" applyFill="1"/>
    <xf numFmtId="0" fontId="29" fillId="5" borderId="0" xfId="3" applyFont="1" applyFill="1"/>
    <xf numFmtId="14" fontId="1" fillId="5" borderId="0" xfId="3" applyNumberFormat="1" applyFont="1" applyFill="1" applyAlignment="1">
      <alignment horizontal="left"/>
    </xf>
    <xf numFmtId="165" fontId="9" fillId="8" borderId="48" xfId="5" applyNumberFormat="1" applyFont="1" applyFill="1" applyBorder="1"/>
    <xf numFmtId="166" fontId="1" fillId="12" borderId="15" xfId="2" applyNumberFormat="1" applyFont="1" applyFill="1" applyBorder="1" applyAlignment="1">
      <alignment horizontal="center" vertical="center"/>
    </xf>
    <xf numFmtId="0" fontId="0" fillId="5" borderId="4" xfId="3" applyFont="1" applyFill="1" applyBorder="1" applyAlignment="1">
      <alignment horizontal="left" vertical="center"/>
    </xf>
    <xf numFmtId="9" fontId="7" fillId="9" borderId="15" xfId="8" applyFont="1" applyFill="1" applyBorder="1" applyAlignment="1" applyProtection="1">
      <alignment horizontal="center" vertical="center"/>
      <protection locked="0"/>
    </xf>
    <xf numFmtId="0" fontId="7" fillId="10" borderId="42" xfId="3" applyFont="1" applyFill="1" applyBorder="1" applyAlignment="1">
      <alignment horizontal="left"/>
    </xf>
    <xf numFmtId="164" fontId="7" fillId="8" borderId="0" xfId="3" applyNumberFormat="1" applyFont="1" applyFill="1" applyBorder="1" applyAlignment="1">
      <alignment vertical="center" wrapText="1"/>
    </xf>
    <xf numFmtId="165" fontId="2" fillId="5" borderId="0" xfId="1" applyNumberFormat="1" applyFill="1" applyBorder="1" applyAlignment="1">
      <alignment horizontal="center" vertical="center"/>
    </xf>
    <xf numFmtId="0" fontId="3" fillId="5" borderId="0" xfId="3" applyFont="1" applyFill="1" applyAlignment="1">
      <alignment horizontal="center" vertical="center"/>
    </xf>
    <xf numFmtId="0" fontId="32" fillId="5" borderId="0" xfId="3" applyFont="1" applyFill="1" applyAlignment="1">
      <alignment horizontal="center" vertical="center" wrapText="1"/>
    </xf>
    <xf numFmtId="1" fontId="7" fillId="9" borderId="17" xfId="3" applyNumberFormat="1" applyFont="1" applyFill="1" applyBorder="1" applyAlignment="1" applyProtection="1">
      <alignment horizontal="center" vertical="center"/>
      <protection locked="0"/>
    </xf>
    <xf numFmtId="0" fontId="33" fillId="9" borderId="0" xfId="3" applyNumberFormat="1" applyFont="1" applyFill="1" applyBorder="1" applyAlignment="1" applyProtection="1">
      <alignment horizontal="center" vertical="center"/>
      <protection locked="0"/>
    </xf>
    <xf numFmtId="0" fontId="7" fillId="10" borderId="84" xfId="3" applyFont="1" applyFill="1" applyBorder="1" applyAlignment="1">
      <alignment horizontal="left"/>
    </xf>
    <xf numFmtId="168" fontId="10" fillId="9" borderId="28" xfId="3" applyNumberFormat="1" applyFont="1" applyFill="1" applyBorder="1" applyAlignment="1" applyProtection="1">
      <alignment horizontal="center"/>
      <protection locked="0"/>
    </xf>
    <xf numFmtId="172" fontId="4" fillId="5" borderId="0" xfId="3" applyNumberFormat="1" applyFont="1" applyFill="1" applyAlignment="1">
      <alignment horizontal="left" vertical="center"/>
    </xf>
    <xf numFmtId="0" fontId="4" fillId="5" borderId="0" xfId="3" applyFont="1" applyFill="1" applyAlignment="1">
      <alignment horizontal="center" vertical="center"/>
    </xf>
    <xf numFmtId="0" fontId="31" fillId="5" borderId="0" xfId="3" applyFont="1" applyFill="1" applyAlignment="1">
      <alignment horizontal="center" vertical="center"/>
    </xf>
    <xf numFmtId="0" fontId="3" fillId="5" borderId="0" xfId="3" applyFont="1" applyFill="1" applyAlignment="1">
      <alignment horizontal="left" vertical="center"/>
    </xf>
    <xf numFmtId="0" fontId="4" fillId="5" borderId="0" xfId="3" applyFont="1" applyFill="1" applyAlignment="1">
      <alignment horizontal="left" vertical="center" wrapText="1"/>
    </xf>
    <xf numFmtId="0" fontId="0" fillId="5" borderId="0" xfId="3" applyFont="1" applyFill="1" applyAlignment="1" applyProtection="1">
      <alignment horizontal="left" vertical="center"/>
      <protection locked="0"/>
    </xf>
    <xf numFmtId="172" fontId="1" fillId="5" borderId="0" xfId="3" applyNumberFormat="1" applyFill="1" applyAlignment="1" applyProtection="1">
      <alignment horizontal="left" vertical="center"/>
      <protection locked="0"/>
    </xf>
    <xf numFmtId="0" fontId="1" fillId="5" borderId="0" xfId="3" applyFill="1" applyAlignment="1" applyProtection="1">
      <alignment horizontal="center" vertical="center"/>
      <protection locked="0"/>
    </xf>
    <xf numFmtId="1" fontId="1" fillId="5" borderId="0" xfId="3" applyNumberFormat="1" applyFill="1" applyAlignment="1" applyProtection="1">
      <alignment horizontal="center" vertical="center"/>
      <protection locked="0"/>
    </xf>
    <xf numFmtId="0" fontId="16" fillId="5" borderId="0" xfId="7" applyFill="1" applyProtection="1">
      <protection locked="0"/>
    </xf>
    <xf numFmtId="0" fontId="1" fillId="5" borderId="0" xfId="3" applyFill="1" applyProtection="1">
      <protection locked="0"/>
    </xf>
    <xf numFmtId="0" fontId="3" fillId="7" borderId="8" xfId="3" applyFont="1" applyFill="1" applyBorder="1" applyAlignment="1">
      <alignment horizontal="center" vertical="center" wrapText="1"/>
    </xf>
    <xf numFmtId="0" fontId="3" fillId="7" borderId="15" xfId="3" applyFont="1" applyFill="1" applyBorder="1" applyAlignment="1">
      <alignment horizontal="center" vertical="center" wrapText="1"/>
    </xf>
    <xf numFmtId="0" fontId="5" fillId="5" borderId="0" xfId="3" applyFont="1" applyFill="1" applyAlignment="1">
      <alignment horizontal="left" vertical="center"/>
    </xf>
    <xf numFmtId="0" fontId="13" fillId="11" borderId="22" xfId="3" applyFont="1" applyFill="1" applyBorder="1" applyAlignment="1">
      <alignment horizontal="left"/>
    </xf>
    <xf numFmtId="0" fontId="13" fillId="11" borderId="23" xfId="3" applyFont="1" applyFill="1" applyBorder="1" applyAlignment="1">
      <alignment horizontal="left"/>
    </xf>
    <xf numFmtId="164" fontId="6" fillId="9" borderId="85" xfId="3" applyNumberFormat="1" applyFont="1" applyFill="1" applyBorder="1" applyAlignment="1" applyProtection="1">
      <alignment horizontal="center" vertical="center" wrapText="1"/>
      <protection locked="0"/>
    </xf>
    <xf numFmtId="164" fontId="6" fillId="9" borderId="86" xfId="3" applyNumberFormat="1" applyFont="1" applyFill="1" applyBorder="1" applyAlignment="1" applyProtection="1">
      <alignment horizontal="center" vertical="center"/>
      <protection locked="0"/>
    </xf>
    <xf numFmtId="164" fontId="6" fillId="6" borderId="24" xfId="3" applyNumberFormat="1" applyFont="1" applyFill="1" applyBorder="1" applyAlignment="1">
      <alignment horizontal="center" vertical="center"/>
    </xf>
    <xf numFmtId="164" fontId="6" fillId="6" borderId="25" xfId="3" applyNumberFormat="1" applyFont="1" applyFill="1" applyBorder="1" applyAlignment="1">
      <alignment horizontal="center" vertical="center"/>
    </xf>
    <xf numFmtId="0" fontId="13" fillId="7" borderId="22" xfId="3" applyFont="1" applyFill="1" applyBorder="1" applyAlignment="1">
      <alignment horizontal="left" vertical="center"/>
    </xf>
    <xf numFmtId="0" fontId="13" fillId="7" borderId="33" xfId="3" applyFont="1" applyFill="1" applyBorder="1" applyAlignment="1">
      <alignment horizontal="left" vertical="center"/>
    </xf>
    <xf numFmtId="0" fontId="13" fillId="7" borderId="23" xfId="3" applyFont="1" applyFill="1" applyBorder="1" applyAlignment="1">
      <alignment horizontal="left" vertical="center"/>
    </xf>
    <xf numFmtId="0" fontId="3" fillId="7" borderId="32" xfId="3" applyFont="1" applyFill="1" applyBorder="1" applyAlignment="1">
      <alignment horizontal="center" vertical="center" wrapText="1"/>
    </xf>
    <xf numFmtId="0" fontId="3" fillId="7" borderId="11" xfId="3" applyFont="1" applyFill="1" applyBorder="1" applyAlignment="1">
      <alignment horizontal="center" vertical="center" wrapText="1"/>
    </xf>
    <xf numFmtId="0" fontId="3" fillId="7" borderId="34" xfId="3" applyFont="1" applyFill="1" applyBorder="1" applyAlignment="1">
      <alignment horizontal="center"/>
    </xf>
    <xf numFmtId="0" fontId="3" fillId="7" borderId="35" xfId="3" applyFont="1" applyFill="1" applyBorder="1" applyAlignment="1">
      <alignment horizontal="center"/>
    </xf>
    <xf numFmtId="0" fontId="3" fillId="7" borderId="36" xfId="3" applyFont="1" applyFill="1" applyBorder="1" applyAlignment="1">
      <alignment horizontal="center"/>
    </xf>
    <xf numFmtId="164" fontId="6" fillId="6" borderId="2" xfId="3" applyNumberFormat="1" applyFont="1" applyFill="1" applyBorder="1" applyAlignment="1">
      <alignment horizontal="center" vertical="center"/>
    </xf>
    <xf numFmtId="164" fontId="6" fillId="6" borderId="3" xfId="3" applyNumberFormat="1" applyFont="1" applyFill="1" applyBorder="1" applyAlignment="1">
      <alignment horizontal="center" vertical="center"/>
    </xf>
    <xf numFmtId="0" fontId="3" fillId="7" borderId="5" xfId="3" applyFont="1" applyFill="1" applyBorder="1" applyAlignment="1">
      <alignment horizontal="center" vertical="center" wrapText="1"/>
    </xf>
    <xf numFmtId="0" fontId="3" fillId="7" borderId="12" xfId="3" applyFont="1" applyFill="1" applyBorder="1" applyAlignment="1">
      <alignment horizontal="center" vertical="center" wrapText="1"/>
    </xf>
    <xf numFmtId="0" fontId="6" fillId="6" borderId="2" xfId="3" applyFont="1" applyFill="1" applyBorder="1" applyAlignment="1">
      <alignment horizontal="center" vertical="center"/>
    </xf>
    <xf numFmtId="0" fontId="6" fillId="6" borderId="3" xfId="3" applyFont="1" applyFill="1" applyBorder="1" applyAlignment="1">
      <alignment horizontal="center" vertical="center"/>
    </xf>
    <xf numFmtId="0" fontId="3" fillId="7" borderId="4" xfId="3" applyFont="1" applyFill="1" applyBorder="1" applyAlignment="1">
      <alignment horizontal="center" vertical="center" wrapText="1"/>
    </xf>
    <xf numFmtId="0" fontId="3" fillId="7" borderId="5" xfId="3" applyFont="1" applyFill="1" applyBorder="1" applyAlignment="1">
      <alignment horizontal="center"/>
    </xf>
    <xf numFmtId="0" fontId="3" fillId="7" borderId="6" xfId="3" applyFont="1" applyFill="1" applyBorder="1" applyAlignment="1">
      <alignment horizontal="center"/>
    </xf>
    <xf numFmtId="0" fontId="3" fillId="7" borderId="5" xfId="3" applyFont="1" applyFill="1" applyBorder="1" applyAlignment="1">
      <alignment horizontal="center" wrapText="1"/>
    </xf>
    <xf numFmtId="0" fontId="3" fillId="7" borderId="7" xfId="3" applyFont="1" applyFill="1" applyBorder="1" applyAlignment="1">
      <alignment horizontal="center" wrapText="1"/>
    </xf>
    <xf numFmtId="164" fontId="6" fillId="6" borderId="22" xfId="3" applyNumberFormat="1" applyFont="1" applyFill="1" applyBorder="1" applyAlignment="1">
      <alignment horizontal="center" vertical="center"/>
    </xf>
    <xf numFmtId="164" fontId="6" fillId="6" borderId="23" xfId="3" applyNumberFormat="1" applyFont="1" applyFill="1" applyBorder="1" applyAlignment="1">
      <alignment horizontal="center" vertical="center"/>
    </xf>
    <xf numFmtId="1" fontId="1" fillId="5" borderId="0" xfId="3" applyNumberFormat="1" applyFill="1" applyAlignment="1">
      <alignment horizontal="center" vertical="center" textRotation="90"/>
    </xf>
    <xf numFmtId="165" fontId="8" fillId="14" borderId="22" xfId="5" applyNumberFormat="1" applyFont="1" applyFill="1" applyBorder="1" applyAlignment="1">
      <alignment horizontal="left"/>
    </xf>
    <xf numFmtId="165" fontId="8" fillId="14" borderId="33" xfId="5" applyNumberFormat="1" applyFont="1" applyFill="1" applyBorder="1" applyAlignment="1">
      <alignment horizontal="left"/>
    </xf>
    <xf numFmtId="165" fontId="8" fillId="14" borderId="23" xfId="5" applyNumberFormat="1" applyFont="1" applyFill="1" applyBorder="1" applyAlignment="1">
      <alignment horizontal="left"/>
    </xf>
    <xf numFmtId="165" fontId="8" fillId="14" borderId="67" xfId="5" applyNumberFormat="1" applyFont="1" applyFill="1" applyBorder="1" applyAlignment="1">
      <alignment horizontal="center" vertical="center" textRotation="90"/>
    </xf>
    <xf numFmtId="165" fontId="8" fillId="14" borderId="68" xfId="5" applyNumberFormat="1" applyFont="1" applyFill="1" applyBorder="1" applyAlignment="1">
      <alignment horizontal="center" vertical="center" textRotation="90"/>
    </xf>
    <xf numFmtId="165" fontId="8" fillId="14" borderId="70" xfId="5" applyNumberFormat="1" applyFont="1" applyFill="1" applyBorder="1" applyAlignment="1">
      <alignment horizontal="center" vertical="center" textRotation="90"/>
    </xf>
    <xf numFmtId="1" fontId="3" fillId="7" borderId="71" xfId="4" applyNumberFormat="1" applyFont="1" applyFill="1" applyBorder="1" applyAlignment="1">
      <alignment horizontal="center" vertical="center"/>
    </xf>
    <xf numFmtId="165" fontId="8" fillId="14" borderId="55" xfId="5" applyNumberFormat="1" applyFont="1" applyFill="1" applyBorder="1" applyAlignment="1">
      <alignment horizontal="center" vertical="center" textRotation="90"/>
    </xf>
    <xf numFmtId="165" fontId="8" fillId="14" borderId="57" xfId="5" applyNumberFormat="1" applyFont="1" applyFill="1" applyBorder="1" applyAlignment="1">
      <alignment horizontal="center" vertical="center" textRotation="90"/>
    </xf>
    <xf numFmtId="165" fontId="8" fillId="14" borderId="64" xfId="5" applyNumberFormat="1" applyFont="1" applyFill="1" applyBorder="1" applyAlignment="1">
      <alignment horizontal="center" vertical="center" textRotation="90"/>
    </xf>
    <xf numFmtId="0" fontId="3" fillId="7" borderId="0" xfId="3" applyFont="1" applyFill="1" applyAlignment="1">
      <alignment horizontal="center"/>
    </xf>
    <xf numFmtId="0" fontId="3" fillId="7" borderId="22" xfId="3" applyFont="1" applyFill="1" applyBorder="1" applyAlignment="1">
      <alignment horizontal="center" vertical="center"/>
    </xf>
    <xf numFmtId="0" fontId="3" fillId="7" borderId="33" xfId="3" applyFont="1" applyFill="1" applyBorder="1" applyAlignment="1">
      <alignment horizontal="center" vertical="center"/>
    </xf>
    <xf numFmtId="0" fontId="3" fillId="7" borderId="23" xfId="3" applyFont="1" applyFill="1" applyBorder="1" applyAlignment="1">
      <alignment horizontal="center" vertical="center"/>
    </xf>
    <xf numFmtId="0" fontId="3" fillId="7" borderId="44" xfId="3" applyFont="1" applyFill="1" applyBorder="1" applyAlignment="1">
      <alignment horizontal="center" vertical="center" wrapText="1"/>
    </xf>
    <xf numFmtId="0" fontId="3" fillId="7" borderId="34" xfId="3" applyFont="1" applyFill="1" applyBorder="1" applyAlignment="1">
      <alignment horizontal="center" wrapText="1"/>
    </xf>
    <xf numFmtId="165" fontId="8" fillId="14" borderId="22" xfId="5" applyNumberFormat="1" applyFont="1" applyFill="1" applyBorder="1" applyAlignment="1">
      <alignment horizontal="left" vertical="top" wrapText="1"/>
    </xf>
    <xf numFmtId="165" fontId="8" fillId="14" borderId="33" xfId="5" applyNumberFormat="1" applyFont="1" applyFill="1" applyBorder="1" applyAlignment="1">
      <alignment horizontal="left" vertical="top" wrapText="1"/>
    </xf>
    <xf numFmtId="165" fontId="8" fillId="14" borderId="23" xfId="5" applyNumberFormat="1" applyFont="1" applyFill="1" applyBorder="1" applyAlignment="1">
      <alignment horizontal="left" vertical="top" wrapText="1"/>
    </xf>
    <xf numFmtId="0" fontId="4" fillId="5" borderId="0" xfId="3" applyFont="1" applyFill="1"/>
    <xf numFmtId="165" fontId="4" fillId="5" borderId="0" xfId="3" applyNumberFormat="1" applyFont="1" applyFill="1"/>
    <xf numFmtId="0" fontId="4" fillId="5" borderId="0" xfId="3" applyFont="1" applyFill="1" applyAlignment="1">
      <alignment horizontal="right"/>
    </xf>
    <xf numFmtId="0" fontId="34" fillId="5" borderId="0" xfId="3" applyFont="1" applyFill="1"/>
    <xf numFmtId="0" fontId="4" fillId="5" borderId="0" xfId="3" applyFont="1" applyFill="1" applyAlignment="1">
      <alignment horizontal="center"/>
    </xf>
    <xf numFmtId="165" fontId="4" fillId="5" borderId="0" xfId="1" applyNumberFormat="1" applyFont="1" applyFill="1" applyBorder="1" applyAlignment="1">
      <alignment horizontal="center" vertical="center"/>
    </xf>
    <xf numFmtId="165" fontId="31" fillId="5" borderId="0" xfId="1" applyNumberFormat="1" applyFont="1" applyFill="1" applyBorder="1"/>
    <xf numFmtId="0" fontId="4" fillId="5" borderId="0" xfId="3" applyFont="1" applyFill="1" applyAlignment="1">
      <alignment horizontal="center"/>
    </xf>
    <xf numFmtId="165" fontId="4" fillId="5" borderId="0" xfId="3" applyNumberFormat="1" applyFont="1" applyFill="1" applyAlignment="1">
      <alignment horizontal="center" vertical="center"/>
    </xf>
    <xf numFmtId="0" fontId="4" fillId="5" borderId="0" xfId="3" applyNumberFormat="1" applyFont="1" applyFill="1"/>
    <xf numFmtId="165" fontId="31" fillId="5" borderId="0" xfId="1" applyNumberFormat="1" applyFont="1" applyFill="1" applyBorder="1" applyAlignment="1">
      <alignment horizontal="right" vertical="center"/>
    </xf>
    <xf numFmtId="0" fontId="4" fillId="5" borderId="0" xfId="3" applyFont="1" applyFill="1" applyBorder="1"/>
    <xf numFmtId="0" fontId="31" fillId="5" borderId="0" xfId="1" applyNumberFormat="1" applyFont="1" applyFill="1" applyBorder="1"/>
    <xf numFmtId="0" fontId="4" fillId="5" borderId="0" xfId="3" applyNumberFormat="1" applyFont="1" applyFill="1" applyAlignment="1">
      <alignment horizontal="center" vertical="center"/>
    </xf>
  </cellXfs>
  <cellStyles count="9">
    <cellStyle name="20 % - Accent6" xfId="2" builtinId="50"/>
    <cellStyle name="Lien hypertexte" xfId="7" builtinId="8"/>
    <cellStyle name="Milliers 2" xfId="4"/>
    <cellStyle name="Monétaire 3" xfId="5"/>
    <cellStyle name="Normal" xfId="0" builtinId="0"/>
    <cellStyle name="Normal 3" xfId="3"/>
    <cellStyle name="Pourcentage" xfId="8" builtinId="5"/>
    <cellStyle name="Pourcentage 3" xfId="6"/>
    <cellStyle name="Sortie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600" b="1"/>
              <a:t>Total des déboursés</a:t>
            </a:r>
            <a:endParaRPr lang="fr-CA" sz="1600" b="1" baseline="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59849590954845E-2"/>
          <c:y val="0.10361465547854451"/>
          <c:w val="0.89644152470554539"/>
          <c:h val="0.78728268849245875"/>
        </c:manualLayout>
      </c:layout>
      <c:lineChart>
        <c:grouping val="standard"/>
        <c:varyColors val="0"/>
        <c:ser>
          <c:idx val="0"/>
          <c:order val="0"/>
          <c:tx>
            <c:strRef>
              <c:f>'Feuille de calcul'!$E$509</c:f>
              <c:strCache>
                <c:ptCount val="1"/>
                <c:pt idx="0">
                  <c:v>Carburant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'Feuille de calcul'!$D$510:$D$527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'Feuille de calcul'!$E$510:$E$527</c:f>
              <c:numCache>
                <c:formatCode>_ * #\ ##0_)\ "$"_ ;_ * \(#\ ##0\)\ "$"_ ;_ * "-"??_)\ "$"_ ;_ @_ </c:formatCode>
                <c:ptCount val="18"/>
                <c:pt idx="0">
                  <c:v>39840</c:v>
                </c:pt>
                <c:pt idx="1">
                  <c:v>44790</c:v>
                </c:pt>
                <c:pt idx="2">
                  <c:v>49740</c:v>
                </c:pt>
                <c:pt idx="3">
                  <c:v>54690</c:v>
                </c:pt>
                <c:pt idx="4">
                  <c:v>59640</c:v>
                </c:pt>
                <c:pt idx="5">
                  <c:v>64590</c:v>
                </c:pt>
                <c:pt idx="6">
                  <c:v>109380</c:v>
                </c:pt>
                <c:pt idx="7">
                  <c:v>114330</c:v>
                </c:pt>
                <c:pt idx="8">
                  <c:v>119280</c:v>
                </c:pt>
                <c:pt idx="9">
                  <c:v>124230</c:v>
                </c:pt>
                <c:pt idx="10">
                  <c:v>129180</c:v>
                </c:pt>
                <c:pt idx="11">
                  <c:v>125970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68-4C27-AF0E-E18B51BE3E66}"/>
            </c:ext>
          </c:extLst>
        </c:ser>
        <c:ser>
          <c:idx val="1"/>
          <c:order val="1"/>
          <c:tx>
            <c:strRef>
              <c:f>'Feuille de calcul'!$F$509</c:f>
              <c:strCache>
                <c:ptCount val="1"/>
                <c:pt idx="0">
                  <c:v>Ecotuned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'Feuille de calcul'!$D$510:$D$527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'Feuille de calcul'!$F$510:$F$527</c:f>
              <c:numCache>
                <c:formatCode>_ * #\ ##0_)\ "$"_ ;_ * \(#\ ##0\)\ "$"_ ;_ * "-"??_)\ "$"_ ;_ @_ </c:formatCode>
                <c:ptCount val="18"/>
                <c:pt idx="0">
                  <c:v>35396.1</c:v>
                </c:pt>
                <c:pt idx="1">
                  <c:v>36188.299999999996</c:v>
                </c:pt>
                <c:pt idx="2">
                  <c:v>36980.499999999993</c:v>
                </c:pt>
                <c:pt idx="3">
                  <c:v>37772.69999999999</c:v>
                </c:pt>
                <c:pt idx="4">
                  <c:v>42064.899999999987</c:v>
                </c:pt>
                <c:pt idx="5">
                  <c:v>42857.099999999984</c:v>
                </c:pt>
                <c:pt idx="6">
                  <c:v>43649.299999999981</c:v>
                </c:pt>
                <c:pt idx="7">
                  <c:v>44441.499999999978</c:v>
                </c:pt>
                <c:pt idx="8">
                  <c:v>48733.699999999975</c:v>
                </c:pt>
                <c:pt idx="9">
                  <c:v>49525.899999999972</c:v>
                </c:pt>
                <c:pt idx="10">
                  <c:v>50318.099999999969</c:v>
                </c:pt>
                <c:pt idx="11">
                  <c:v>48110.299999999967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68-4C27-AF0E-E18B51BE3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7596896"/>
        <c:axId val="1377596352"/>
      </c:lineChart>
      <c:catAx>
        <c:axId val="137759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7596352"/>
        <c:crosses val="autoZero"/>
        <c:auto val="1"/>
        <c:lblAlgn val="ctr"/>
        <c:lblOffset val="100"/>
        <c:noMultiLvlLbl val="0"/>
      </c:catAx>
      <c:valAx>
        <c:axId val="137759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)\ &quot;$&quot;_ ;_ * \(#\ ##0\)\ &quot;$&quot;_ ;_ * &quot;-&quot;??_)\ &quot;$&quot;_ ;_ @_ 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7596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517417683623389"/>
          <c:y val="0.94010502879126667"/>
          <c:w val="0.24448091939414895"/>
          <c:h val="4.119982197890013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CA"/>
              <a:t>Annual operating</a:t>
            </a:r>
            <a:r>
              <a:rPr lang="fr-CA" baseline="0"/>
              <a:t> cost</a:t>
            </a:r>
            <a:endParaRPr lang="fr-CA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62489924979849"/>
          <c:y val="0.14798341383797614"/>
          <c:w val="0.79000764668196011"/>
          <c:h val="0.776628950792915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'[1]Calcul ROI'!$C$9:$C$12</c:f>
              <c:strCache>
                <c:ptCount val="4"/>
                <c:pt idx="0">
                  <c:v>Gas</c:v>
                </c:pt>
                <c:pt idx="1">
                  <c:v>Hybrid</c:v>
                </c:pt>
                <c:pt idx="2">
                  <c:v>VIA Motors</c:v>
                </c:pt>
                <c:pt idx="3">
                  <c:v>Ecotuned</c:v>
                </c:pt>
              </c:strCache>
            </c:strRef>
          </c:cat>
          <c:val>
            <c:numRef>
              <c:f>'[1]Calcul ROI'!$D$9:$D$12</c:f>
              <c:numCache>
                <c:formatCode>General</c:formatCode>
                <c:ptCount val="4"/>
                <c:pt idx="0">
                  <c:v>5430</c:v>
                </c:pt>
                <c:pt idx="1">
                  <c:v>3428.7</c:v>
                </c:pt>
                <c:pt idx="2">
                  <c:v>683.58000000000015</c:v>
                </c:pt>
                <c:pt idx="3">
                  <c:v>890.2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99-48F3-BDB8-DB683DB26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462141760"/>
        <c:axId val="1462146656"/>
      </c:barChart>
      <c:catAx>
        <c:axId val="146214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62146656"/>
        <c:crosses val="autoZero"/>
        <c:auto val="1"/>
        <c:lblAlgn val="ctr"/>
        <c:lblOffset val="100"/>
        <c:noMultiLvlLbl val="0"/>
      </c:catAx>
      <c:valAx>
        <c:axId val="146214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62141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CA"/>
              <a:t>Annual</a:t>
            </a:r>
            <a:r>
              <a:rPr lang="fr-CA" baseline="0"/>
              <a:t> equivalenet cost (AEC)</a:t>
            </a:r>
            <a:endParaRPr lang="fr-CA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18236371653913"/>
          <c:y val="0.14625766903881379"/>
          <c:w val="0.78857889819089966"/>
          <c:h val="0.7777962939755994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'[1]Calcul ROI'!$C$9:$C$12</c:f>
              <c:strCache>
                <c:ptCount val="4"/>
                <c:pt idx="0">
                  <c:v>Gas</c:v>
                </c:pt>
                <c:pt idx="1">
                  <c:v>Hybrid</c:v>
                </c:pt>
                <c:pt idx="2">
                  <c:v>VIA Motors</c:v>
                </c:pt>
                <c:pt idx="3">
                  <c:v>Ecotuned</c:v>
                </c:pt>
              </c:strCache>
            </c:strRef>
          </c:cat>
          <c:val>
            <c:numRef>
              <c:f>'[1]Calcul ROI'!$F$9:$F$12</c:f>
              <c:numCache>
                <c:formatCode>General</c:formatCode>
                <c:ptCount val="4"/>
                <c:pt idx="0">
                  <c:v>9644.1666666666661</c:v>
                </c:pt>
                <c:pt idx="1">
                  <c:v>8128.9749999999985</c:v>
                </c:pt>
                <c:pt idx="2">
                  <c:v>14564.148333333331</c:v>
                </c:pt>
                <c:pt idx="3">
                  <c:v>4100.983144811451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58-4B95-9529-587AA3EA7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67924720"/>
        <c:axId val="1767923088"/>
      </c:barChart>
      <c:catAx>
        <c:axId val="176792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767923088"/>
        <c:crosses val="autoZero"/>
        <c:auto val="1"/>
        <c:lblAlgn val="ctr"/>
        <c:lblOffset val="100"/>
        <c:noMultiLvlLbl val="0"/>
      </c:catAx>
      <c:valAx>
        <c:axId val="176792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767924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Total disbursed</a:t>
            </a:r>
            <a:endParaRPr lang="fr-CA" baseline="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'Feuille de calcul'!$E$509</c:f>
              <c:strCache>
                <c:ptCount val="1"/>
                <c:pt idx="0">
                  <c:v>Carburant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'Feuille de calcul'!$D$510:$D$527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'Feuille de calcul'!$E$510:$E$527</c:f>
              <c:numCache>
                <c:formatCode>_ * #\ ##0_)\ "$"_ ;_ * \(#\ ##0\)\ "$"_ ;_ * "-"??_)\ "$"_ ;_ @_ </c:formatCode>
                <c:ptCount val="18"/>
                <c:pt idx="0">
                  <c:v>39840</c:v>
                </c:pt>
                <c:pt idx="1">
                  <c:v>44790</c:v>
                </c:pt>
                <c:pt idx="2">
                  <c:v>49740</c:v>
                </c:pt>
                <c:pt idx="3">
                  <c:v>54690</c:v>
                </c:pt>
                <c:pt idx="4">
                  <c:v>59640</c:v>
                </c:pt>
                <c:pt idx="5">
                  <c:v>64590</c:v>
                </c:pt>
                <c:pt idx="6">
                  <c:v>109380</c:v>
                </c:pt>
                <c:pt idx="7">
                  <c:v>114330</c:v>
                </c:pt>
                <c:pt idx="8">
                  <c:v>119280</c:v>
                </c:pt>
                <c:pt idx="9">
                  <c:v>124230</c:v>
                </c:pt>
                <c:pt idx="10">
                  <c:v>129180</c:v>
                </c:pt>
                <c:pt idx="11">
                  <c:v>125970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51-4C6E-B917-8B28E2660D38}"/>
            </c:ext>
          </c:extLst>
        </c:ser>
        <c:ser>
          <c:idx val="1"/>
          <c:order val="1"/>
          <c:tx>
            <c:strRef>
              <c:f>'Feuille de calcul'!$F$509</c:f>
              <c:strCache>
                <c:ptCount val="1"/>
                <c:pt idx="0">
                  <c:v>Ecotuned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'Feuille de calcul'!$D$510:$D$527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'Feuille de calcul'!$F$510:$F$527</c:f>
              <c:numCache>
                <c:formatCode>_ * #\ ##0_)\ "$"_ ;_ * \(#\ ##0\)\ "$"_ ;_ * "-"??_)\ "$"_ ;_ @_ </c:formatCode>
                <c:ptCount val="18"/>
                <c:pt idx="0">
                  <c:v>35396.1</c:v>
                </c:pt>
                <c:pt idx="1">
                  <c:v>36188.299999999996</c:v>
                </c:pt>
                <c:pt idx="2">
                  <c:v>36980.499999999993</c:v>
                </c:pt>
                <c:pt idx="3">
                  <c:v>37772.69999999999</c:v>
                </c:pt>
                <c:pt idx="4">
                  <c:v>42064.899999999987</c:v>
                </c:pt>
                <c:pt idx="5">
                  <c:v>42857.099999999984</c:v>
                </c:pt>
                <c:pt idx="6">
                  <c:v>43649.299999999981</c:v>
                </c:pt>
                <c:pt idx="7">
                  <c:v>44441.499999999978</c:v>
                </c:pt>
                <c:pt idx="8">
                  <c:v>48733.699999999975</c:v>
                </c:pt>
                <c:pt idx="9">
                  <c:v>49525.899999999972</c:v>
                </c:pt>
                <c:pt idx="10">
                  <c:v>50318.099999999969</c:v>
                </c:pt>
                <c:pt idx="11">
                  <c:v>48110.299999999967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51-4C6E-B917-8B28E2660D38}"/>
            </c:ext>
          </c:extLst>
        </c:ser>
        <c:ser>
          <c:idx val="2"/>
          <c:order val="2"/>
          <c:tx>
            <c:strRef>
              <c:f>'Feuille de calcul'!$I$509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'Feuille de calcul'!$D$510:$D$527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'Feuille de calcul'!$I$510:$I$527</c:f>
              <c:numCache>
                <c:formatCode>_ * #\ ##0_)\ "$"_ ;_ * \(#\ ##0\)\ "$"_ ;_ * "-"??_)\ "$"_ ;_ @_ 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51-4C6E-B917-8B28E2660D38}"/>
            </c:ext>
          </c:extLst>
        </c:ser>
        <c:ser>
          <c:idx val="3"/>
          <c:order val="3"/>
          <c:tx>
            <c:strRef>
              <c:f>'Feuille de calcul'!$L$509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'Feuille de calcul'!$D$510:$D$527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'Feuille de calcul'!$L$510:$L$527</c:f>
              <c:numCache>
                <c:formatCode>_ * #\ ##0_)\ "$"_ ;_ * \(#\ ##0\)\ "$"_ ;_ * "-"??_)\ "$"_ ;_ @_ 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51-4C6E-B917-8B28E2660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7920368"/>
        <c:axId val="1767929072"/>
      </c:lineChart>
      <c:catAx>
        <c:axId val="17679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7929072"/>
        <c:crosses val="autoZero"/>
        <c:auto val="1"/>
        <c:lblAlgn val="ctr"/>
        <c:lblOffset val="100"/>
        <c:noMultiLvlLbl val="0"/>
      </c:catAx>
      <c:valAx>
        <c:axId val="176792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)\ &quot;$&quot;_ ;_ * \(#\ ##0\)\ &quot;$&quot;_ ;_ * &quot;-&quot;??_)\ &quot;$&quot;_ ;_ @_ 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7920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63617496673556"/>
          <c:y val="0.93092549020191651"/>
          <c:w val="0.37361942140806881"/>
          <c:h val="4.471694494419686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190186</xdr:colOff>
      <xdr:row>17</xdr:row>
      <xdr:rowOff>190500</xdr:rowOff>
    </xdr:from>
    <xdr:to>
      <xdr:col>12</xdr:col>
      <xdr:colOff>22412</xdr:colOff>
      <xdr:row>45</xdr:row>
      <xdr:rowOff>179294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</xdr:colOff>
      <xdr:row>1</xdr:row>
      <xdr:rowOff>0</xdr:rowOff>
    </xdr:from>
    <xdr:to>
      <xdr:col>3</xdr:col>
      <xdr:colOff>156883</xdr:colOff>
      <xdr:row>5</xdr:row>
      <xdr:rowOff>51210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19" y="190500"/>
          <a:ext cx="4011706" cy="813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717550</xdr:colOff>
      <xdr:row>14</xdr:row>
      <xdr:rowOff>152400</xdr:rowOff>
    </xdr:from>
    <xdr:to>
      <xdr:col>13</xdr:col>
      <xdr:colOff>539750</xdr:colOff>
      <xdr:row>40</xdr:row>
      <xdr:rowOff>101600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88900</xdr:colOff>
      <xdr:row>15</xdr:row>
      <xdr:rowOff>0</xdr:rowOff>
    </xdr:from>
    <xdr:to>
      <xdr:col>19</xdr:col>
      <xdr:colOff>177800</xdr:colOff>
      <xdr:row>40</xdr:row>
      <xdr:rowOff>82550</xdr:rowOff>
    </xdr:to>
    <xdr:graphicFrame macro="">
      <xdr:nvGraphicFramePr>
        <xdr:cNvPr id="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273050</xdr:colOff>
      <xdr:row>15</xdr:row>
      <xdr:rowOff>0</xdr:rowOff>
    </xdr:from>
    <xdr:to>
      <xdr:col>7</xdr:col>
      <xdr:colOff>793750</xdr:colOff>
      <xdr:row>40</xdr:row>
      <xdr:rowOff>76200</xdr:rowOff>
    </xdr:to>
    <xdr:graphicFrame macro="">
      <xdr:nvGraphicFramePr>
        <xdr:cNvPr id="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es/Pr&#233;visions%202018-2023%20R&#233;aliste%20v2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y/Dropbox/Documents%20Ecotuned/5000_D&#233;veloppement%20des%20affaires/Documents%20d'informations/Archives/Pr&#233;visions%202018-2023%20R&#233;aliste%20v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erture"/>
      <sheetName val="Entreprise"/>
      <sheetName val="Table"/>
      <sheetName val="Hypothèses du plan d'affaires"/>
      <sheetName val="Prévisions des ventes"/>
      <sheetName val="Ventilation des ventes"/>
      <sheetName val="Ventilation locations"/>
      <sheetName val="Ventilation des achats"/>
      <sheetName val="Masse salariale"/>
      <sheetName val="Sous-traitance"/>
      <sheetName val="Honoraires"/>
      <sheetName val="Budget de caisse"/>
      <sheetName val="Hypothèses du budget de caisse"/>
      <sheetName val="Sources et utilisation"/>
      <sheetName val="État des résultats"/>
      <sheetName val="Annexe"/>
      <sheetName val="État des BNR"/>
      <sheetName val="Amortissement"/>
      <sheetName val="Bilan"/>
      <sheetName val="Point mort"/>
      <sheetName val="Ratios"/>
      <sheetName val="Emprunts"/>
      <sheetName val="BOM"/>
      <sheetName val="ROI Clients"/>
      <sheetName val="Calcul ROI"/>
    </sheetNames>
    <sheetDataSet>
      <sheetData sheetId="0"/>
      <sheetData sheetId="1"/>
      <sheetData sheetId="2"/>
      <sheetData sheetId="3">
        <row r="11">
          <cell r="W11" t="str">
            <v>Mois</v>
          </cell>
          <cell r="X11" t="str">
            <v>Unités produit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Prix payés clients</v>
          </cell>
          <cell r="AD11" t="str">
            <v>Subvention QC</v>
          </cell>
          <cell r="AE11" t="str">
            <v>Subvention CA,US</v>
          </cell>
          <cell r="AF11" t="str">
            <v>Prix coûtant pièces</v>
          </cell>
          <cell r="AG11" t="str">
            <v>Temps de conversion (h)</v>
          </cell>
          <cell r="AH11" t="str">
            <v xml:space="preserve">Efficacité </v>
          </cell>
        </row>
        <row r="12">
          <cell r="W12">
            <v>1</v>
          </cell>
          <cell r="X12">
            <v>3</v>
          </cell>
          <cell r="Y12">
            <v>100</v>
          </cell>
          <cell r="Z12">
            <v>0</v>
          </cell>
          <cell r="AA12">
            <v>100</v>
          </cell>
          <cell r="AB12">
            <v>0</v>
          </cell>
          <cell r="AC12">
            <v>46000</v>
          </cell>
          <cell r="AD12">
            <v>0</v>
          </cell>
          <cell r="AE12">
            <v>0</v>
          </cell>
          <cell r="AF12">
            <v>45549</v>
          </cell>
          <cell r="AG12">
            <v>119.99999999999996</v>
          </cell>
          <cell r="AH12">
            <v>0.70338983050847459</v>
          </cell>
        </row>
        <row r="13">
          <cell r="W13">
            <v>2</v>
          </cell>
          <cell r="X13">
            <v>5</v>
          </cell>
          <cell r="Y13">
            <v>100</v>
          </cell>
          <cell r="Z13">
            <v>0</v>
          </cell>
          <cell r="AA13">
            <v>100</v>
          </cell>
          <cell r="AB13">
            <v>0</v>
          </cell>
          <cell r="AC13">
            <v>46000</v>
          </cell>
          <cell r="AD13">
            <v>0</v>
          </cell>
          <cell r="AE13">
            <v>0</v>
          </cell>
          <cell r="AF13">
            <v>44640</v>
          </cell>
          <cell r="AG13">
            <v>117.16581056618658</v>
          </cell>
          <cell r="AH13">
            <v>0.70677966101694922</v>
          </cell>
        </row>
        <row r="14">
          <cell r="W14">
            <v>3</v>
          </cell>
          <cell r="X14">
            <v>6</v>
          </cell>
          <cell r="Y14">
            <v>100</v>
          </cell>
          <cell r="Z14">
            <v>0</v>
          </cell>
          <cell r="AA14">
            <v>100</v>
          </cell>
          <cell r="AB14">
            <v>0</v>
          </cell>
          <cell r="AC14">
            <v>46000</v>
          </cell>
          <cell r="AD14">
            <v>0</v>
          </cell>
          <cell r="AE14">
            <v>0</v>
          </cell>
          <cell r="AF14">
            <v>43745</v>
          </cell>
          <cell r="AG14">
            <v>114.39855971359603</v>
          </cell>
          <cell r="AH14">
            <v>0.71016949152542364</v>
          </cell>
        </row>
        <row r="15">
          <cell r="W15">
            <v>4</v>
          </cell>
          <cell r="X15">
            <v>8</v>
          </cell>
          <cell r="Y15">
            <v>100</v>
          </cell>
          <cell r="Z15">
            <v>0</v>
          </cell>
          <cell r="AA15">
            <v>100</v>
          </cell>
          <cell r="AB15">
            <v>0</v>
          </cell>
          <cell r="AC15">
            <v>46000</v>
          </cell>
          <cell r="AD15">
            <v>0</v>
          </cell>
          <cell r="AE15">
            <v>0</v>
          </cell>
          <cell r="AF15">
            <v>42864</v>
          </cell>
          <cell r="AG15">
            <v>111.69666647039817</v>
          </cell>
          <cell r="AH15">
            <v>0.71355932203389827</v>
          </cell>
        </row>
        <row r="16">
          <cell r="W16">
            <v>5</v>
          </cell>
          <cell r="X16">
            <v>10</v>
          </cell>
          <cell r="Y16">
            <v>100</v>
          </cell>
          <cell r="Z16">
            <v>0</v>
          </cell>
          <cell r="AA16">
            <v>100</v>
          </cell>
          <cell r="AB16">
            <v>0</v>
          </cell>
          <cell r="AC16">
            <v>46000</v>
          </cell>
          <cell r="AD16">
            <v>0</v>
          </cell>
          <cell r="AE16">
            <v>0</v>
          </cell>
          <cell r="AF16">
            <v>41997</v>
          </cell>
          <cell r="AG16">
            <v>109.05858720454336</v>
          </cell>
          <cell r="AH16">
            <v>0.7169491525423729</v>
          </cell>
        </row>
        <row r="17">
          <cell r="W17">
            <v>6</v>
          </cell>
          <cell r="X17">
            <v>12</v>
          </cell>
          <cell r="Y17">
            <v>100</v>
          </cell>
          <cell r="Z17">
            <v>0</v>
          </cell>
          <cell r="AA17">
            <v>100</v>
          </cell>
          <cell r="AB17">
            <v>0</v>
          </cell>
          <cell r="AC17">
            <v>46000</v>
          </cell>
          <cell r="AD17">
            <v>0</v>
          </cell>
          <cell r="AE17">
            <v>0</v>
          </cell>
          <cell r="AF17">
            <v>41143</v>
          </cell>
          <cell r="AG17">
            <v>106.48281474186226</v>
          </cell>
          <cell r="AH17">
            <v>0.72033898305084743</v>
          </cell>
        </row>
        <row r="18">
          <cell r="W18">
            <v>7</v>
          </cell>
          <cell r="X18">
            <v>14</v>
          </cell>
          <cell r="Y18">
            <v>100</v>
          </cell>
          <cell r="Z18">
            <v>0</v>
          </cell>
          <cell r="AA18">
            <v>100</v>
          </cell>
          <cell r="AB18">
            <v>0</v>
          </cell>
          <cell r="AC18">
            <v>46000</v>
          </cell>
          <cell r="AD18">
            <v>0</v>
          </cell>
          <cell r="AE18">
            <v>0</v>
          </cell>
          <cell r="AF18">
            <v>40304</v>
          </cell>
          <cell r="AG18">
            <v>103.9678775049948</v>
          </cell>
          <cell r="AH18">
            <v>0.72372881355932206</v>
          </cell>
        </row>
        <row r="19">
          <cell r="W19">
            <v>8</v>
          </cell>
          <cell r="X19">
            <v>16</v>
          </cell>
          <cell r="Y19">
            <v>100</v>
          </cell>
          <cell r="Z19">
            <v>0</v>
          </cell>
          <cell r="AA19">
            <v>100</v>
          </cell>
          <cell r="AB19">
            <v>0</v>
          </cell>
          <cell r="AC19">
            <v>46000</v>
          </cell>
          <cell r="AD19">
            <v>0</v>
          </cell>
          <cell r="AE19">
            <v>0</v>
          </cell>
          <cell r="AF19">
            <v>39479</v>
          </cell>
          <cell r="AG19">
            <v>101.51233867265599</v>
          </cell>
          <cell r="AH19">
            <v>0.72711864406779658</v>
          </cell>
        </row>
        <row r="20">
          <cell r="W20">
            <v>9</v>
          </cell>
          <cell r="X20">
            <v>18</v>
          </cell>
          <cell r="Y20">
            <v>100</v>
          </cell>
          <cell r="Z20">
            <v>0</v>
          </cell>
          <cell r="AA20">
            <v>100</v>
          </cell>
          <cell r="AB20">
            <v>0</v>
          </cell>
          <cell r="AC20">
            <v>46000</v>
          </cell>
          <cell r="AD20">
            <v>0</v>
          </cell>
          <cell r="AE20">
            <v>0</v>
          </cell>
          <cell r="AF20">
            <v>38668</v>
          </cell>
          <cell r="AG20">
            <v>99.114795358758258</v>
          </cell>
          <cell r="AH20">
            <v>0.73050847457627111</v>
          </cell>
        </row>
        <row r="21">
          <cell r="W21">
            <v>10</v>
          </cell>
          <cell r="X21">
            <v>20</v>
          </cell>
          <cell r="Y21">
            <v>100</v>
          </cell>
          <cell r="Z21">
            <v>0</v>
          </cell>
          <cell r="AA21">
            <v>100</v>
          </cell>
          <cell r="AB21">
            <v>0</v>
          </cell>
          <cell r="AC21">
            <v>46000</v>
          </cell>
          <cell r="AD21">
            <v>0</v>
          </cell>
          <cell r="AE21">
            <v>0</v>
          </cell>
          <cell r="AF21">
            <v>37871</v>
          </cell>
          <cell r="AG21">
            <v>96.77387781092186</v>
          </cell>
          <cell r="AH21">
            <v>0.73389830508474574</v>
          </cell>
        </row>
        <row r="22">
          <cell r="W22">
            <v>11</v>
          </cell>
          <cell r="X22">
            <v>23</v>
          </cell>
          <cell r="Y22">
            <v>100</v>
          </cell>
          <cell r="Z22">
            <v>0</v>
          </cell>
          <cell r="AA22">
            <v>100</v>
          </cell>
          <cell r="AB22">
            <v>0</v>
          </cell>
          <cell r="AC22">
            <v>46000</v>
          </cell>
          <cell r="AD22">
            <v>0</v>
          </cell>
          <cell r="AE22">
            <v>0</v>
          </cell>
          <cell r="AF22">
            <v>37088</v>
          </cell>
          <cell r="AG22">
            <v>94.488248627914672</v>
          </cell>
          <cell r="AH22">
            <v>0.73728813559322037</v>
          </cell>
        </row>
        <row r="23">
          <cell r="W23">
            <v>12</v>
          </cell>
          <cell r="X23">
            <v>26</v>
          </cell>
          <cell r="Y23">
            <v>100</v>
          </cell>
          <cell r="Z23">
            <v>0</v>
          </cell>
          <cell r="AA23">
            <v>100</v>
          </cell>
          <cell r="AB23">
            <v>0</v>
          </cell>
          <cell r="AC23">
            <v>46000</v>
          </cell>
          <cell r="AD23">
            <v>0</v>
          </cell>
          <cell r="AE23">
            <v>0</v>
          </cell>
          <cell r="AF23">
            <v>36319</v>
          </cell>
          <cell r="AG23">
            <v>92.256601995574954</v>
          </cell>
          <cell r="AH23">
            <v>0.7406779661016949</v>
          </cell>
        </row>
        <row r="24">
          <cell r="W24">
            <v>13</v>
          </cell>
          <cell r="X24">
            <v>28</v>
          </cell>
          <cell r="Y24">
            <v>96</v>
          </cell>
          <cell r="Z24">
            <v>4</v>
          </cell>
          <cell r="AA24">
            <v>100</v>
          </cell>
          <cell r="AB24">
            <v>0</v>
          </cell>
          <cell r="AC24">
            <v>46000</v>
          </cell>
          <cell r="AD24">
            <v>0</v>
          </cell>
          <cell r="AE24">
            <v>0</v>
          </cell>
          <cell r="AF24">
            <v>35564</v>
          </cell>
          <cell r="AG24">
            <v>90.077662940780073</v>
          </cell>
          <cell r="AH24">
            <v>0.74406779661016953</v>
          </cell>
        </row>
        <row r="25">
          <cell r="W25">
            <v>14</v>
          </cell>
          <cell r="X25">
            <v>31</v>
          </cell>
          <cell r="Y25">
            <v>92</v>
          </cell>
          <cell r="Z25">
            <v>8</v>
          </cell>
          <cell r="AA25">
            <v>100</v>
          </cell>
          <cell r="AB25">
            <v>0</v>
          </cell>
          <cell r="AC25">
            <v>46000</v>
          </cell>
          <cell r="AD25">
            <v>0</v>
          </cell>
          <cell r="AE25">
            <v>0</v>
          </cell>
          <cell r="AF25">
            <v>34824</v>
          </cell>
          <cell r="AG25">
            <v>87.950186603035391</v>
          </cell>
          <cell r="AH25">
            <v>0.74745762711864405</v>
          </cell>
        </row>
        <row r="26">
          <cell r="W26">
            <v>15</v>
          </cell>
          <cell r="X26">
            <v>34</v>
          </cell>
          <cell r="Y26">
            <v>89</v>
          </cell>
          <cell r="Z26">
            <v>11</v>
          </cell>
          <cell r="AA26">
            <v>100</v>
          </cell>
          <cell r="AB26">
            <v>0</v>
          </cell>
          <cell r="AC26">
            <v>46000</v>
          </cell>
          <cell r="AD26">
            <v>0</v>
          </cell>
          <cell r="AE26">
            <v>0</v>
          </cell>
          <cell r="AF26">
            <v>34097</v>
          </cell>
          <cell r="AG26">
            <v>85.872957523266749</v>
          </cell>
          <cell r="AH26">
            <v>0.75084745762711858</v>
          </cell>
        </row>
        <row r="27">
          <cell r="W27">
            <v>16</v>
          </cell>
          <cell r="X27">
            <v>37</v>
          </cell>
          <cell r="Y27">
            <v>86</v>
          </cell>
          <cell r="Z27">
            <v>14</v>
          </cell>
          <cell r="AA27">
            <v>100</v>
          </cell>
          <cell r="AB27">
            <v>0</v>
          </cell>
          <cell r="AC27">
            <v>46000</v>
          </cell>
          <cell r="AD27">
            <v>0</v>
          </cell>
          <cell r="AE27">
            <v>0</v>
          </cell>
          <cell r="AF27">
            <v>33384</v>
          </cell>
          <cell r="AG27">
            <v>83.844788949410514</v>
          </cell>
          <cell r="AH27">
            <v>0.75423728813559321</v>
          </cell>
        </row>
        <row r="28">
          <cell r="W28">
            <v>17</v>
          </cell>
          <cell r="X28">
            <v>41</v>
          </cell>
          <cell r="Y28">
            <v>83</v>
          </cell>
          <cell r="Z28">
            <v>17</v>
          </cell>
          <cell r="AA28">
            <v>100</v>
          </cell>
          <cell r="AB28">
            <v>0</v>
          </cell>
          <cell r="AC28">
            <v>46000</v>
          </cell>
          <cell r="AD28">
            <v>0</v>
          </cell>
          <cell r="AE28">
            <v>0</v>
          </cell>
          <cell r="AF28">
            <v>32685</v>
          </cell>
          <cell r="AG28">
            <v>81.864522158404412</v>
          </cell>
          <cell r="AH28">
            <v>0.75762711864406784</v>
          </cell>
        </row>
        <row r="29">
          <cell r="W29">
            <v>18</v>
          </cell>
          <cell r="X29">
            <v>44</v>
          </cell>
          <cell r="Y29">
            <v>80</v>
          </cell>
          <cell r="Z29">
            <v>20</v>
          </cell>
          <cell r="AA29">
            <v>100</v>
          </cell>
          <cell r="AB29">
            <v>0</v>
          </cell>
          <cell r="AC29">
            <v>46000</v>
          </cell>
          <cell r="AD29">
            <v>0</v>
          </cell>
          <cell r="AE29">
            <v>0</v>
          </cell>
          <cell r="AF29">
            <v>32000</v>
          </cell>
          <cell r="AG29">
            <v>79.931025794191669</v>
          </cell>
          <cell r="AH29">
            <v>0.76101694915254248</v>
          </cell>
        </row>
        <row r="30">
          <cell r="W30">
            <v>19</v>
          </cell>
          <cell r="X30">
            <v>48</v>
          </cell>
          <cell r="Y30">
            <v>77</v>
          </cell>
          <cell r="Z30">
            <v>23</v>
          </cell>
          <cell r="AA30">
            <v>100</v>
          </cell>
          <cell r="AB30">
            <v>0</v>
          </cell>
          <cell r="AC30">
            <v>46000</v>
          </cell>
          <cell r="AD30">
            <v>0</v>
          </cell>
          <cell r="AE30">
            <v>0</v>
          </cell>
          <cell r="AF30">
            <v>31329</v>
          </cell>
          <cell r="AG30">
            <v>78.043195221360293</v>
          </cell>
          <cell r="AH30">
            <v>0.76440677966101689</v>
          </cell>
        </row>
        <row r="31">
          <cell r="W31">
            <v>20</v>
          </cell>
          <cell r="X31">
            <v>52</v>
          </cell>
          <cell r="Y31">
            <v>75</v>
          </cell>
          <cell r="Z31">
            <v>25</v>
          </cell>
          <cell r="AA31">
            <v>100</v>
          </cell>
          <cell r="AB31">
            <v>0</v>
          </cell>
          <cell r="AC31">
            <v>45000</v>
          </cell>
          <cell r="AD31">
            <v>0</v>
          </cell>
          <cell r="AE31">
            <v>0</v>
          </cell>
          <cell r="AF31">
            <v>30672</v>
          </cell>
          <cell r="AG31">
            <v>76.199951894048525</v>
          </cell>
          <cell r="AH31">
            <v>0.76779661016949152</v>
          </cell>
        </row>
        <row r="32">
          <cell r="W32">
            <v>21</v>
          </cell>
          <cell r="X32">
            <v>56</v>
          </cell>
          <cell r="Y32">
            <v>72</v>
          </cell>
          <cell r="Z32">
            <v>28</v>
          </cell>
          <cell r="AA32">
            <v>100</v>
          </cell>
          <cell r="AB32">
            <v>0</v>
          </cell>
          <cell r="AC32">
            <v>45000</v>
          </cell>
          <cell r="AD32">
            <v>0</v>
          </cell>
          <cell r="AE32">
            <v>0</v>
          </cell>
          <cell r="AF32">
            <v>30029</v>
          </cell>
          <cell r="AG32">
            <v>74.400242739755186</v>
          </cell>
          <cell r="AH32">
            <v>0.77118644067796605</v>
          </cell>
        </row>
        <row r="33">
          <cell r="W33">
            <v>22</v>
          </cell>
          <cell r="X33">
            <v>61</v>
          </cell>
          <cell r="Y33">
            <v>70</v>
          </cell>
          <cell r="Z33">
            <v>30</v>
          </cell>
          <cell r="AA33">
            <v>100</v>
          </cell>
          <cell r="AB33">
            <v>0</v>
          </cell>
          <cell r="AC33">
            <v>44000</v>
          </cell>
          <cell r="AD33">
            <v>0</v>
          </cell>
          <cell r="AE33">
            <v>0</v>
          </cell>
          <cell r="AF33">
            <v>29401</v>
          </cell>
          <cell r="AG33">
            <v>72.643039557703801</v>
          </cell>
          <cell r="AH33">
            <v>0.77457627118644068</v>
          </cell>
        </row>
        <row r="34">
          <cell r="W34">
            <v>23</v>
          </cell>
          <cell r="X34">
            <v>65</v>
          </cell>
          <cell r="Y34">
            <v>68</v>
          </cell>
          <cell r="Z34">
            <v>32</v>
          </cell>
          <cell r="AA34">
            <v>100</v>
          </cell>
          <cell r="AB34">
            <v>0</v>
          </cell>
          <cell r="AC34">
            <v>44000</v>
          </cell>
          <cell r="AD34">
            <v>0</v>
          </cell>
          <cell r="AE34">
            <v>0</v>
          </cell>
          <cell r="AF34">
            <v>28786</v>
          </cell>
          <cell r="AG34">
            <v>70.927338431416061</v>
          </cell>
          <cell r="AH34">
            <v>0.77796610169491531</v>
          </cell>
        </row>
        <row r="35">
          <cell r="W35">
            <v>24</v>
          </cell>
          <cell r="X35">
            <v>70</v>
          </cell>
          <cell r="Y35">
            <v>66</v>
          </cell>
          <cell r="Z35">
            <v>34</v>
          </cell>
          <cell r="AA35">
            <v>100</v>
          </cell>
          <cell r="AB35">
            <v>0</v>
          </cell>
          <cell r="AC35">
            <v>43000</v>
          </cell>
          <cell r="AD35">
            <v>0</v>
          </cell>
          <cell r="AE35">
            <v>0</v>
          </cell>
          <cell r="AF35">
            <v>28185</v>
          </cell>
          <cell r="AG35">
            <v>69.252159155159177</v>
          </cell>
          <cell r="AH35">
            <v>0.78135593220338995</v>
          </cell>
        </row>
        <row r="36">
          <cell r="W36">
            <v>25</v>
          </cell>
          <cell r="X36">
            <v>75</v>
          </cell>
          <cell r="Y36">
            <v>64</v>
          </cell>
          <cell r="Z36">
            <v>36</v>
          </cell>
          <cell r="AA36">
            <v>100</v>
          </cell>
          <cell r="AB36">
            <v>0</v>
          </cell>
          <cell r="AC36">
            <v>43000</v>
          </cell>
          <cell r="AD36">
            <v>0</v>
          </cell>
          <cell r="AE36">
            <v>0</v>
          </cell>
          <cell r="AF36">
            <v>27598</v>
          </cell>
          <cell r="AG36">
            <v>67.616544673939885</v>
          </cell>
          <cell r="AH36">
            <v>0.78474576271186436</v>
          </cell>
        </row>
        <row r="37">
          <cell r="W37">
            <v>26</v>
          </cell>
          <cell r="X37">
            <v>80</v>
          </cell>
          <cell r="Y37">
            <v>62</v>
          </cell>
          <cell r="Z37">
            <v>38</v>
          </cell>
          <cell r="AA37">
            <v>100</v>
          </cell>
          <cell r="AB37">
            <v>0</v>
          </cell>
          <cell r="AC37">
            <v>43000</v>
          </cell>
          <cell r="AD37">
            <v>0</v>
          </cell>
          <cell r="AE37">
            <v>0</v>
          </cell>
          <cell r="AF37">
            <v>27025</v>
          </cell>
          <cell r="AG37">
            <v>66.01956053672447</v>
          </cell>
          <cell r="AH37">
            <v>0.78813559322033899</v>
          </cell>
        </row>
        <row r="38">
          <cell r="W38">
            <v>27</v>
          </cell>
          <cell r="X38">
            <v>86</v>
          </cell>
          <cell r="Y38">
            <v>60</v>
          </cell>
          <cell r="Z38">
            <v>40</v>
          </cell>
          <cell r="AA38">
            <v>100</v>
          </cell>
          <cell r="AB38">
            <v>0</v>
          </cell>
          <cell r="AC38">
            <v>42000</v>
          </cell>
          <cell r="AD38">
            <v>0</v>
          </cell>
          <cell r="AE38">
            <v>0</v>
          </cell>
          <cell r="AF38">
            <v>26467</v>
          </cell>
          <cell r="AG38">
            <v>64.46029436257291</v>
          </cell>
          <cell r="AH38">
            <v>0.79152542372881352</v>
          </cell>
        </row>
        <row r="39">
          <cell r="W39">
            <v>28</v>
          </cell>
          <cell r="X39">
            <v>92</v>
          </cell>
          <cell r="Y39">
            <v>58</v>
          </cell>
          <cell r="Z39">
            <v>42</v>
          </cell>
          <cell r="AA39">
            <v>100</v>
          </cell>
          <cell r="AB39">
            <v>0</v>
          </cell>
          <cell r="AC39">
            <v>42000</v>
          </cell>
          <cell r="AD39">
            <v>0</v>
          </cell>
          <cell r="AE39">
            <v>0</v>
          </cell>
          <cell r="AF39">
            <v>25922</v>
          </cell>
          <cell r="AG39">
            <v>62.937855319382045</v>
          </cell>
          <cell r="AH39">
            <v>0.79491525423728815</v>
          </cell>
        </row>
        <row r="40">
          <cell r="W40">
            <v>29</v>
          </cell>
          <cell r="X40">
            <v>98</v>
          </cell>
          <cell r="Y40">
            <v>56</v>
          </cell>
          <cell r="Z40">
            <v>44</v>
          </cell>
          <cell r="AA40">
            <v>100</v>
          </cell>
          <cell r="AB40">
            <v>0</v>
          </cell>
          <cell r="AC40">
            <v>41000</v>
          </cell>
          <cell r="AD40">
            <v>0</v>
          </cell>
          <cell r="AE40">
            <v>0</v>
          </cell>
          <cell r="AF40">
            <v>25391</v>
          </cell>
          <cell r="AG40">
            <v>61.451373614939804</v>
          </cell>
          <cell r="AH40">
            <v>0.79830508474576278</v>
          </cell>
        </row>
        <row r="41">
          <cell r="W41">
            <v>30</v>
          </cell>
          <cell r="X41">
            <v>104</v>
          </cell>
          <cell r="Y41">
            <v>54</v>
          </cell>
          <cell r="Z41">
            <v>46</v>
          </cell>
          <cell r="AA41">
            <v>100</v>
          </cell>
          <cell r="AB41">
            <v>0</v>
          </cell>
          <cell r="AC41">
            <v>41000</v>
          </cell>
          <cell r="AD41">
            <v>0</v>
          </cell>
          <cell r="AE41">
            <v>0</v>
          </cell>
          <cell r="AF41">
            <v>24875</v>
          </cell>
          <cell r="AG41">
            <v>60</v>
          </cell>
          <cell r="AH41">
            <v>0.80169491525423719</v>
          </cell>
        </row>
        <row r="42">
          <cell r="W42">
            <v>31</v>
          </cell>
          <cell r="X42">
            <v>111</v>
          </cell>
          <cell r="Y42">
            <v>53</v>
          </cell>
          <cell r="Z42">
            <v>47</v>
          </cell>
          <cell r="AA42">
            <v>100</v>
          </cell>
          <cell r="AB42">
            <v>0</v>
          </cell>
          <cell r="AC42">
            <v>41000</v>
          </cell>
          <cell r="AD42">
            <v>0</v>
          </cell>
          <cell r="AE42">
            <v>0</v>
          </cell>
          <cell r="AF42">
            <v>24372</v>
          </cell>
          <cell r="AG42">
            <v>60</v>
          </cell>
          <cell r="AH42">
            <v>0.80508474576271183</v>
          </cell>
        </row>
        <row r="43">
          <cell r="W43">
            <v>32</v>
          </cell>
          <cell r="X43">
            <v>118</v>
          </cell>
          <cell r="Y43">
            <v>51</v>
          </cell>
          <cell r="Z43">
            <v>49</v>
          </cell>
          <cell r="AA43">
            <v>100</v>
          </cell>
          <cell r="AB43">
            <v>0</v>
          </cell>
          <cell r="AC43">
            <v>40000</v>
          </cell>
          <cell r="AD43">
            <v>0</v>
          </cell>
          <cell r="AE43">
            <v>0</v>
          </cell>
          <cell r="AF43">
            <v>23883</v>
          </cell>
          <cell r="AG43">
            <v>60</v>
          </cell>
          <cell r="AH43">
            <v>0.80847457627118646</v>
          </cell>
        </row>
        <row r="44">
          <cell r="W44">
            <v>33</v>
          </cell>
          <cell r="X44">
            <v>125</v>
          </cell>
          <cell r="Y44">
            <v>50</v>
          </cell>
          <cell r="Z44">
            <v>49</v>
          </cell>
          <cell r="AA44">
            <v>100</v>
          </cell>
          <cell r="AB44">
            <v>0</v>
          </cell>
          <cell r="AC44">
            <v>40000</v>
          </cell>
          <cell r="AD44">
            <v>0</v>
          </cell>
          <cell r="AE44">
            <v>0</v>
          </cell>
          <cell r="AF44">
            <v>23409</v>
          </cell>
          <cell r="AG44">
            <v>60</v>
          </cell>
          <cell r="AH44">
            <v>0.81186440677966099</v>
          </cell>
        </row>
        <row r="45">
          <cell r="W45">
            <v>34</v>
          </cell>
          <cell r="X45">
            <v>132</v>
          </cell>
          <cell r="Y45">
            <v>48</v>
          </cell>
          <cell r="Z45">
            <v>52</v>
          </cell>
          <cell r="AA45">
            <v>100</v>
          </cell>
          <cell r="AB45">
            <v>0</v>
          </cell>
          <cell r="AC45">
            <v>40000</v>
          </cell>
          <cell r="AD45">
            <v>0</v>
          </cell>
          <cell r="AE45">
            <v>0</v>
          </cell>
          <cell r="AF45">
            <v>22948</v>
          </cell>
          <cell r="AG45">
            <v>60</v>
          </cell>
          <cell r="AH45">
            <v>0.81525423728813562</v>
          </cell>
        </row>
        <row r="46">
          <cell r="W46">
            <v>35</v>
          </cell>
          <cell r="X46">
            <v>140</v>
          </cell>
          <cell r="Y46">
            <v>47</v>
          </cell>
          <cell r="Z46">
            <v>53</v>
          </cell>
          <cell r="AA46">
            <v>100</v>
          </cell>
          <cell r="AB46">
            <v>0</v>
          </cell>
          <cell r="AC46">
            <v>39000</v>
          </cell>
          <cell r="AD46">
            <v>0</v>
          </cell>
          <cell r="AE46">
            <v>0</v>
          </cell>
          <cell r="AF46">
            <v>22501</v>
          </cell>
          <cell r="AG46">
            <v>60</v>
          </cell>
          <cell r="AH46">
            <v>0.81864406779661014</v>
          </cell>
        </row>
        <row r="47">
          <cell r="W47">
            <v>36</v>
          </cell>
          <cell r="X47">
            <v>148</v>
          </cell>
          <cell r="Y47">
            <v>45</v>
          </cell>
          <cell r="Z47">
            <v>55</v>
          </cell>
          <cell r="AA47">
            <v>100</v>
          </cell>
          <cell r="AB47">
            <v>0</v>
          </cell>
          <cell r="AC47">
            <v>39000</v>
          </cell>
          <cell r="AD47">
            <v>0</v>
          </cell>
          <cell r="AE47">
            <v>0</v>
          </cell>
          <cell r="AF47">
            <v>22069</v>
          </cell>
          <cell r="AG47">
            <v>60</v>
          </cell>
          <cell r="AH47">
            <v>0.82203389830508466</v>
          </cell>
        </row>
        <row r="48">
          <cell r="W48">
            <v>37</v>
          </cell>
          <cell r="X48">
            <v>157</v>
          </cell>
          <cell r="Y48">
            <v>44</v>
          </cell>
          <cell r="Z48">
            <v>56</v>
          </cell>
          <cell r="AA48">
            <v>100</v>
          </cell>
          <cell r="AB48">
            <v>0</v>
          </cell>
          <cell r="AC48">
            <v>39000</v>
          </cell>
          <cell r="AD48">
            <v>0</v>
          </cell>
          <cell r="AE48">
            <v>0</v>
          </cell>
          <cell r="AF48">
            <v>21650</v>
          </cell>
          <cell r="AG48">
            <v>60</v>
          </cell>
          <cell r="AH48">
            <v>0.8254237288135593</v>
          </cell>
        </row>
        <row r="49">
          <cell r="W49">
            <v>38</v>
          </cell>
          <cell r="X49">
            <v>166</v>
          </cell>
          <cell r="Y49">
            <v>43</v>
          </cell>
          <cell r="Z49">
            <v>57</v>
          </cell>
          <cell r="AA49">
            <v>100</v>
          </cell>
          <cell r="AB49">
            <v>0</v>
          </cell>
          <cell r="AC49">
            <v>38000</v>
          </cell>
          <cell r="AD49">
            <v>0</v>
          </cell>
          <cell r="AE49">
            <v>0</v>
          </cell>
          <cell r="AF49">
            <v>21246</v>
          </cell>
          <cell r="AG49">
            <v>60</v>
          </cell>
          <cell r="AH49">
            <v>0.82881355932203393</v>
          </cell>
        </row>
        <row r="50">
          <cell r="W50">
            <v>39</v>
          </cell>
          <cell r="X50">
            <v>175</v>
          </cell>
          <cell r="Y50">
            <v>41</v>
          </cell>
          <cell r="Z50">
            <v>59</v>
          </cell>
          <cell r="AA50">
            <v>100</v>
          </cell>
          <cell r="AB50">
            <v>0</v>
          </cell>
          <cell r="AC50">
            <v>38000</v>
          </cell>
          <cell r="AD50">
            <v>0</v>
          </cell>
          <cell r="AE50">
            <v>0</v>
          </cell>
          <cell r="AF50">
            <v>20855</v>
          </cell>
          <cell r="AG50">
            <v>60</v>
          </cell>
          <cell r="AH50">
            <v>0.83220338983050857</v>
          </cell>
        </row>
        <row r="51">
          <cell r="W51">
            <v>40</v>
          </cell>
          <cell r="X51">
            <v>184</v>
          </cell>
          <cell r="Y51">
            <v>40</v>
          </cell>
          <cell r="Z51">
            <v>60</v>
          </cell>
          <cell r="AA51">
            <v>100</v>
          </cell>
          <cell r="AB51">
            <v>0</v>
          </cell>
          <cell r="AC51">
            <v>38000</v>
          </cell>
          <cell r="AD51">
            <v>0</v>
          </cell>
          <cell r="AE51">
            <v>0</v>
          </cell>
          <cell r="AF51">
            <v>20479</v>
          </cell>
          <cell r="AG51">
            <v>60</v>
          </cell>
          <cell r="AH51">
            <v>0.83559322033898298</v>
          </cell>
        </row>
        <row r="52">
          <cell r="W52">
            <v>41</v>
          </cell>
          <cell r="X52">
            <v>194</v>
          </cell>
          <cell r="Y52">
            <v>39</v>
          </cell>
          <cell r="Z52">
            <v>61</v>
          </cell>
          <cell r="AA52">
            <v>100</v>
          </cell>
          <cell r="AB52">
            <v>0</v>
          </cell>
          <cell r="AC52">
            <v>38000</v>
          </cell>
          <cell r="AD52">
            <v>0</v>
          </cell>
          <cell r="AE52">
            <v>0</v>
          </cell>
          <cell r="AF52">
            <v>20116</v>
          </cell>
          <cell r="AG52">
            <v>60</v>
          </cell>
          <cell r="AH52">
            <v>0.83898305084745761</v>
          </cell>
        </row>
        <row r="53">
          <cell r="W53">
            <v>42</v>
          </cell>
          <cell r="X53">
            <v>204</v>
          </cell>
          <cell r="Y53">
            <v>38</v>
          </cell>
          <cell r="Z53">
            <v>62</v>
          </cell>
          <cell r="AA53">
            <v>100</v>
          </cell>
          <cell r="AB53">
            <v>0</v>
          </cell>
          <cell r="AC53">
            <v>37000</v>
          </cell>
          <cell r="AD53">
            <v>0</v>
          </cell>
          <cell r="AE53">
            <v>0</v>
          </cell>
          <cell r="AF53">
            <v>19768</v>
          </cell>
          <cell r="AG53">
            <v>60</v>
          </cell>
          <cell r="AH53">
            <v>0.84237288135593213</v>
          </cell>
        </row>
        <row r="54">
          <cell r="W54">
            <v>43</v>
          </cell>
          <cell r="X54">
            <v>215</v>
          </cell>
          <cell r="Y54">
            <v>37</v>
          </cell>
          <cell r="Z54">
            <v>63</v>
          </cell>
          <cell r="AA54">
            <v>100</v>
          </cell>
          <cell r="AB54">
            <v>0</v>
          </cell>
          <cell r="AC54">
            <v>37000</v>
          </cell>
          <cell r="AD54">
            <v>0</v>
          </cell>
          <cell r="AE54">
            <v>0</v>
          </cell>
          <cell r="AF54">
            <v>19433</v>
          </cell>
          <cell r="AG54">
            <v>60</v>
          </cell>
          <cell r="AH54">
            <v>0.84576271186440677</v>
          </cell>
        </row>
        <row r="55">
          <cell r="W55">
            <v>44</v>
          </cell>
          <cell r="X55">
            <v>226</v>
          </cell>
          <cell r="Y55">
            <v>35</v>
          </cell>
          <cell r="Z55">
            <v>65</v>
          </cell>
          <cell r="AA55">
            <v>100</v>
          </cell>
          <cell r="AB55">
            <v>0</v>
          </cell>
          <cell r="AC55">
            <v>37000</v>
          </cell>
          <cell r="AD55">
            <v>0</v>
          </cell>
          <cell r="AE55">
            <v>0</v>
          </cell>
          <cell r="AF55">
            <v>19113</v>
          </cell>
          <cell r="AG55">
            <v>60</v>
          </cell>
          <cell r="AH55">
            <v>0.8491525423728814</v>
          </cell>
        </row>
        <row r="56">
          <cell r="W56">
            <v>45</v>
          </cell>
          <cell r="X56">
            <v>237</v>
          </cell>
          <cell r="Y56">
            <v>34</v>
          </cell>
          <cell r="Z56">
            <v>66</v>
          </cell>
          <cell r="AA56">
            <v>100</v>
          </cell>
          <cell r="AB56">
            <v>0</v>
          </cell>
          <cell r="AC56">
            <v>37000</v>
          </cell>
          <cell r="AD56">
            <v>0</v>
          </cell>
          <cell r="AE56">
            <v>0</v>
          </cell>
          <cell r="AF56">
            <v>18806</v>
          </cell>
          <cell r="AG56">
            <v>60</v>
          </cell>
          <cell r="AH56">
            <v>0.85254237288135581</v>
          </cell>
        </row>
        <row r="57">
          <cell r="W57">
            <v>46</v>
          </cell>
          <cell r="X57">
            <v>249</v>
          </cell>
          <cell r="Y57">
            <v>33</v>
          </cell>
          <cell r="Z57">
            <v>67</v>
          </cell>
          <cell r="AA57">
            <v>100</v>
          </cell>
          <cell r="AB57">
            <v>0</v>
          </cell>
          <cell r="AC57">
            <v>36000</v>
          </cell>
          <cell r="AD57">
            <v>0</v>
          </cell>
          <cell r="AE57">
            <v>0</v>
          </cell>
          <cell r="AF57">
            <v>18514</v>
          </cell>
          <cell r="AG57">
            <v>60</v>
          </cell>
          <cell r="AH57">
            <v>0.85593220338983045</v>
          </cell>
        </row>
        <row r="58">
          <cell r="W58">
            <v>47</v>
          </cell>
          <cell r="X58">
            <v>261</v>
          </cell>
          <cell r="Y58">
            <v>32</v>
          </cell>
          <cell r="Z58">
            <v>68</v>
          </cell>
          <cell r="AA58">
            <v>100</v>
          </cell>
          <cell r="AB58">
            <v>0</v>
          </cell>
          <cell r="AC58">
            <v>36000</v>
          </cell>
          <cell r="AD58">
            <v>0</v>
          </cell>
          <cell r="AE58">
            <v>0</v>
          </cell>
          <cell r="AF58">
            <v>18235</v>
          </cell>
          <cell r="AG58">
            <v>60</v>
          </cell>
          <cell r="AH58">
            <v>0.85932203389830508</v>
          </cell>
        </row>
        <row r="59">
          <cell r="W59">
            <v>48</v>
          </cell>
          <cell r="X59">
            <v>274</v>
          </cell>
          <cell r="Y59">
            <v>31</v>
          </cell>
          <cell r="Z59">
            <v>69</v>
          </cell>
          <cell r="AA59">
            <v>100</v>
          </cell>
          <cell r="AB59">
            <v>0</v>
          </cell>
          <cell r="AC59">
            <v>36000</v>
          </cell>
          <cell r="AD59">
            <v>0</v>
          </cell>
          <cell r="AE59">
            <v>0</v>
          </cell>
          <cell r="AF59">
            <v>17971</v>
          </cell>
          <cell r="AG59">
            <v>60</v>
          </cell>
          <cell r="AH59">
            <v>0.8627118644067796</v>
          </cell>
        </row>
        <row r="60">
          <cell r="W60">
            <v>49</v>
          </cell>
          <cell r="X60">
            <v>287</v>
          </cell>
          <cell r="Y60">
            <v>30</v>
          </cell>
          <cell r="Z60">
            <v>70</v>
          </cell>
          <cell r="AA60">
            <v>100</v>
          </cell>
          <cell r="AB60">
            <v>0</v>
          </cell>
          <cell r="AC60">
            <v>36000</v>
          </cell>
          <cell r="AD60">
            <v>0</v>
          </cell>
          <cell r="AE60">
            <v>0</v>
          </cell>
          <cell r="AF60">
            <v>17720</v>
          </cell>
          <cell r="AG60">
            <v>60</v>
          </cell>
          <cell r="AH60">
            <v>0.86610169491525424</v>
          </cell>
        </row>
        <row r="61">
          <cell r="W61">
            <v>50</v>
          </cell>
          <cell r="X61">
            <v>300</v>
          </cell>
          <cell r="Y61">
            <v>29</v>
          </cell>
          <cell r="Z61">
            <v>71</v>
          </cell>
          <cell r="AA61">
            <v>100</v>
          </cell>
          <cell r="AB61">
            <v>0</v>
          </cell>
          <cell r="AC61">
            <v>35000</v>
          </cell>
          <cell r="AD61">
            <v>0</v>
          </cell>
          <cell r="AE61">
            <v>0</v>
          </cell>
          <cell r="AF61">
            <v>17484</v>
          </cell>
          <cell r="AG61">
            <v>60</v>
          </cell>
          <cell r="AH61">
            <v>0.86949152542372876</v>
          </cell>
        </row>
        <row r="62">
          <cell r="W62">
            <v>51</v>
          </cell>
          <cell r="X62">
            <v>314</v>
          </cell>
          <cell r="Y62">
            <v>28</v>
          </cell>
          <cell r="Z62">
            <v>72</v>
          </cell>
          <cell r="AA62">
            <v>100</v>
          </cell>
          <cell r="AB62">
            <v>0</v>
          </cell>
          <cell r="AC62">
            <v>35000</v>
          </cell>
          <cell r="AD62">
            <v>0</v>
          </cell>
          <cell r="AE62">
            <v>0</v>
          </cell>
          <cell r="AF62">
            <v>17262</v>
          </cell>
          <cell r="AG62">
            <v>60</v>
          </cell>
          <cell r="AH62">
            <v>0.87288135593220351</v>
          </cell>
        </row>
        <row r="63">
          <cell r="W63">
            <v>52</v>
          </cell>
          <cell r="X63">
            <v>329</v>
          </cell>
          <cell r="Y63">
            <v>27</v>
          </cell>
          <cell r="Z63">
            <v>73</v>
          </cell>
          <cell r="AA63">
            <v>100</v>
          </cell>
          <cell r="AB63">
            <v>0</v>
          </cell>
          <cell r="AC63">
            <v>35000</v>
          </cell>
          <cell r="AD63">
            <v>0</v>
          </cell>
          <cell r="AE63">
            <v>0</v>
          </cell>
          <cell r="AF63">
            <v>17053</v>
          </cell>
          <cell r="AG63">
            <v>60</v>
          </cell>
          <cell r="AH63">
            <v>0.87627118644067792</v>
          </cell>
        </row>
        <row r="64">
          <cell r="W64">
            <v>53</v>
          </cell>
          <cell r="X64">
            <v>343</v>
          </cell>
          <cell r="Y64">
            <v>26</v>
          </cell>
          <cell r="Z64">
            <v>74</v>
          </cell>
          <cell r="AA64">
            <v>100</v>
          </cell>
          <cell r="AB64">
            <v>0</v>
          </cell>
          <cell r="AC64">
            <v>35000</v>
          </cell>
          <cell r="AD64">
            <v>0</v>
          </cell>
          <cell r="AE64">
            <v>0</v>
          </cell>
          <cell r="AF64">
            <v>16859</v>
          </cell>
          <cell r="AG64">
            <v>60</v>
          </cell>
          <cell r="AH64">
            <v>0.87966101694915255</v>
          </cell>
        </row>
        <row r="65">
          <cell r="W65">
            <v>54</v>
          </cell>
          <cell r="X65">
            <v>359</v>
          </cell>
          <cell r="Y65">
            <v>25</v>
          </cell>
          <cell r="Z65">
            <v>75</v>
          </cell>
          <cell r="AA65">
            <v>100</v>
          </cell>
          <cell r="AB65">
            <v>0</v>
          </cell>
          <cell r="AC65">
            <v>35000</v>
          </cell>
          <cell r="AD65">
            <v>0</v>
          </cell>
          <cell r="AE65">
            <v>0</v>
          </cell>
          <cell r="AF65">
            <v>16679</v>
          </cell>
          <cell r="AG65">
            <v>60</v>
          </cell>
          <cell r="AH65">
            <v>0.88305084745762707</v>
          </cell>
        </row>
        <row r="66">
          <cell r="W66">
            <v>55</v>
          </cell>
          <cell r="X66">
            <v>374</v>
          </cell>
          <cell r="Y66">
            <v>24</v>
          </cell>
          <cell r="Z66">
            <v>76</v>
          </cell>
          <cell r="AA66">
            <v>100</v>
          </cell>
          <cell r="AB66">
            <v>0</v>
          </cell>
          <cell r="AC66">
            <v>34000</v>
          </cell>
          <cell r="AD66">
            <v>0</v>
          </cell>
          <cell r="AE66">
            <v>0</v>
          </cell>
          <cell r="AF66">
            <v>16512</v>
          </cell>
          <cell r="AG66">
            <v>60</v>
          </cell>
          <cell r="AH66">
            <v>0.88644067796610171</v>
          </cell>
        </row>
        <row r="67">
          <cell r="W67">
            <v>56</v>
          </cell>
          <cell r="X67">
            <v>391</v>
          </cell>
          <cell r="Y67">
            <v>23</v>
          </cell>
          <cell r="Z67">
            <v>77</v>
          </cell>
          <cell r="AA67">
            <v>100</v>
          </cell>
          <cell r="AB67">
            <v>0</v>
          </cell>
          <cell r="AC67">
            <v>34000</v>
          </cell>
          <cell r="AD67">
            <v>0</v>
          </cell>
          <cell r="AE67">
            <v>0</v>
          </cell>
          <cell r="AF67">
            <v>16360</v>
          </cell>
          <cell r="AG67">
            <v>60</v>
          </cell>
          <cell r="AH67">
            <v>0.88983050847457634</v>
          </cell>
        </row>
        <row r="68">
          <cell r="W68">
            <v>57</v>
          </cell>
          <cell r="X68">
            <v>407</v>
          </cell>
          <cell r="Y68">
            <v>23</v>
          </cell>
          <cell r="Z68">
            <v>77</v>
          </cell>
          <cell r="AA68">
            <v>100</v>
          </cell>
          <cell r="AB68">
            <v>0</v>
          </cell>
          <cell r="AC68">
            <v>34000</v>
          </cell>
          <cell r="AD68">
            <v>0</v>
          </cell>
          <cell r="AE68">
            <v>0</v>
          </cell>
          <cell r="AF68">
            <v>16222</v>
          </cell>
          <cell r="AG68">
            <v>60</v>
          </cell>
          <cell r="AH68">
            <v>0.89322033898305075</v>
          </cell>
        </row>
        <row r="69">
          <cell r="W69">
            <v>58</v>
          </cell>
          <cell r="X69">
            <v>424</v>
          </cell>
          <cell r="Y69">
            <v>22</v>
          </cell>
          <cell r="Z69">
            <v>78</v>
          </cell>
          <cell r="AA69">
            <v>100</v>
          </cell>
          <cell r="AB69">
            <v>0</v>
          </cell>
          <cell r="AC69">
            <v>34000</v>
          </cell>
          <cell r="AD69">
            <v>0</v>
          </cell>
          <cell r="AE69">
            <v>0</v>
          </cell>
          <cell r="AF69">
            <v>16097</v>
          </cell>
          <cell r="AG69">
            <v>60</v>
          </cell>
          <cell r="AH69">
            <v>0.89661016949152539</v>
          </cell>
        </row>
        <row r="70">
          <cell r="W70">
            <v>59</v>
          </cell>
          <cell r="X70">
            <v>442</v>
          </cell>
          <cell r="Y70">
            <v>21</v>
          </cell>
          <cell r="Z70">
            <v>79</v>
          </cell>
          <cell r="AA70">
            <v>100</v>
          </cell>
          <cell r="AB70">
            <v>0</v>
          </cell>
          <cell r="AC70">
            <v>34000</v>
          </cell>
          <cell r="AD70">
            <v>0</v>
          </cell>
          <cell r="AE70">
            <v>0</v>
          </cell>
          <cell r="AF70">
            <v>15987</v>
          </cell>
          <cell r="AG70">
            <v>60</v>
          </cell>
          <cell r="AH70">
            <v>0.9</v>
          </cell>
        </row>
        <row r="71">
          <cell r="W71">
            <v>60</v>
          </cell>
          <cell r="X71">
            <v>460</v>
          </cell>
          <cell r="Y71">
            <v>20</v>
          </cell>
          <cell r="Z71">
            <v>80</v>
          </cell>
          <cell r="AA71">
            <v>100</v>
          </cell>
          <cell r="AB71">
            <v>0</v>
          </cell>
          <cell r="AC71">
            <v>33000</v>
          </cell>
          <cell r="AD71">
            <v>0</v>
          </cell>
          <cell r="AE71">
            <v>0</v>
          </cell>
          <cell r="AF71">
            <v>15891</v>
          </cell>
          <cell r="AG71">
            <v>60</v>
          </cell>
          <cell r="AH71">
            <v>0.90338983050847466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4">
          <cell r="AV14">
            <v>42887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</row>
        <row r="15">
          <cell r="AV15">
            <v>42917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AV16">
            <v>42948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</row>
        <row r="17">
          <cell r="AV17">
            <v>42979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</row>
        <row r="18">
          <cell r="AV18">
            <v>43009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V19">
            <v>43040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</row>
        <row r="20">
          <cell r="AV20">
            <v>43070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AV21">
            <v>43101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</row>
        <row r="22">
          <cell r="AV22">
            <v>43132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</row>
        <row r="23">
          <cell r="AV23">
            <v>43160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</row>
        <row r="24">
          <cell r="AV24">
            <v>43191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AV25">
            <v>43221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</row>
        <row r="26">
          <cell r="AV26">
            <v>43252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</row>
        <row r="27">
          <cell r="AV27">
            <v>43282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AV28">
            <v>43313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AV29">
            <v>43344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</row>
        <row r="30">
          <cell r="AV30">
            <v>43374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</row>
        <row r="31">
          <cell r="AV31">
            <v>43405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</row>
        <row r="32">
          <cell r="AV32">
            <v>43435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AV33">
            <v>43466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</row>
        <row r="34">
          <cell r="AV34">
            <v>43497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</row>
        <row r="35">
          <cell r="AV35">
            <v>43525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</row>
        <row r="36">
          <cell r="AV36">
            <v>43556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</row>
        <row r="37">
          <cell r="AV37">
            <v>43586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</row>
        <row r="38">
          <cell r="AV38">
            <v>43617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AV39">
            <v>43647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</row>
        <row r="40">
          <cell r="AV40">
            <v>43678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</row>
        <row r="41">
          <cell r="AV41">
            <v>43709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</row>
        <row r="42">
          <cell r="AV42">
            <v>43739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</row>
        <row r="43">
          <cell r="AV43">
            <v>43770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</row>
        <row r="44">
          <cell r="AV44">
            <v>43800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</row>
        <row r="45">
          <cell r="AV45">
            <v>43831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</row>
        <row r="46">
          <cell r="AV46">
            <v>43862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</row>
        <row r="47">
          <cell r="AV47">
            <v>43891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</row>
        <row r="48">
          <cell r="AV48">
            <v>43922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</row>
        <row r="49">
          <cell r="AV49">
            <v>43952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</row>
        <row r="50">
          <cell r="AV50">
            <v>43983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</row>
        <row r="51">
          <cell r="AV51">
            <v>44013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</row>
        <row r="52">
          <cell r="AV52">
            <v>44044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AV53">
            <v>44075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AV54">
            <v>44105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AV55">
            <v>44136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</row>
        <row r="56">
          <cell r="AV56">
            <v>44166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</row>
        <row r="57">
          <cell r="AV57">
            <v>44197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AV58">
            <v>44228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</row>
        <row r="59">
          <cell r="AV59">
            <v>44256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AV60">
            <v>44287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</row>
        <row r="61">
          <cell r="AV61">
            <v>44317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</row>
      </sheetData>
      <sheetData sheetId="22"/>
      <sheetData sheetId="23"/>
      <sheetData sheetId="24">
        <row r="9">
          <cell r="C9" t="str">
            <v>Gas</v>
          </cell>
          <cell r="D9">
            <v>5430</v>
          </cell>
          <cell r="F9">
            <v>9644.1666666666661</v>
          </cell>
        </row>
        <row r="10">
          <cell r="C10" t="str">
            <v>Hybrid</v>
          </cell>
          <cell r="D10">
            <v>3428.7</v>
          </cell>
          <cell r="F10">
            <v>8128.9749999999985</v>
          </cell>
        </row>
        <row r="11">
          <cell r="C11" t="str">
            <v>VIA Motors</v>
          </cell>
          <cell r="D11">
            <v>683.58000000000015</v>
          </cell>
          <cell r="F11">
            <v>14564.148333333331</v>
          </cell>
        </row>
        <row r="12">
          <cell r="C12" t="str">
            <v>Ecotuned</v>
          </cell>
          <cell r="D12">
            <v>890.2</v>
          </cell>
          <cell r="F12">
            <v>4100.983144811451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erture"/>
      <sheetName val="Entreprise"/>
      <sheetName val="Table"/>
      <sheetName val="Hypothèses du plan d'affaires"/>
      <sheetName val="Prévisions des ventes"/>
      <sheetName val="Ventilation des ventes"/>
      <sheetName val="Ventilation locations"/>
      <sheetName val="Ventilation des achats"/>
      <sheetName val="Masse salariale"/>
      <sheetName val="Sous-traitance"/>
      <sheetName val="Honoraires"/>
      <sheetName val="Budget de caisse"/>
      <sheetName val="Hypothèses du budget de caisse"/>
      <sheetName val="Sources et utilisation"/>
      <sheetName val="État des résultats"/>
      <sheetName val="Annexe"/>
      <sheetName val="État des BNR"/>
      <sheetName val="Amortissement"/>
      <sheetName val="Bilan"/>
      <sheetName val="Point mort"/>
      <sheetName val="Ratios"/>
      <sheetName val="Emprunts"/>
      <sheetName val="BOM"/>
      <sheetName val="ROI Clients"/>
      <sheetName val="Calcul ROI"/>
    </sheetNames>
    <sheetDataSet>
      <sheetData sheetId="0"/>
      <sheetData sheetId="1"/>
      <sheetData sheetId="2"/>
      <sheetData sheetId="3">
        <row r="11">
          <cell r="W11" t="str">
            <v>Mois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4">
          <cell r="AV14">
            <v>42887</v>
          </cell>
        </row>
      </sheetData>
      <sheetData sheetId="22"/>
      <sheetData sheetId="23"/>
      <sheetData sheetId="24">
        <row r="9">
          <cell r="C9" t="str">
            <v>Gas</v>
          </cell>
          <cell r="D9">
            <v>5430</v>
          </cell>
          <cell r="F9">
            <v>9644.1666666666661</v>
          </cell>
        </row>
        <row r="10">
          <cell r="D10">
            <v>3428.7</v>
          </cell>
          <cell r="F10">
            <v>8128.9749999999985</v>
          </cell>
        </row>
        <row r="11">
          <cell r="D11">
            <v>683.58000000000015</v>
          </cell>
          <cell r="F11">
            <v>14564.148333333331</v>
          </cell>
        </row>
        <row r="12">
          <cell r="D12">
            <v>890.2</v>
          </cell>
          <cell r="F12">
            <v>4100.983144811451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s://fr.shop.ford.ca/inventory/superduty/results?zipcode=H3X2W8&amp;Radius=150&amp;modeltrim=SuperDuty_F22-F350XLT%3BSuperDuty_F22-F350XL&amp;year=2019&amp;fyear=2019&amp;Order=Distance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fr.shop.ford.ca/inventory/superduty/results?zipcode=H3X2W8&amp;Radius=150&amp;modeltrim=SuperDuty_F22-F250XL%3BSuperDuty_F22-F250XLT&amp;year=2019&amp;fyear=2019&amp;Order=Distance" TargetMode="External"/><Relationship Id="rId1" Type="http://schemas.openxmlformats.org/officeDocument/2006/relationships/hyperlink" Target="https://fr.shop.ford.ca/inventory/superduty/results?zipcode=H3X2W8&amp;Radius=150&amp;modeltrim=SuperDuty_F22-F450XL%3BSuperDuty_F22-F450XLT&amp;year=2019&amp;fyear=2019&amp;Order=Distance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fr.shop.ford.ca/inventory/f150/results?zipcode=H3X2W8&amp;Radius=150&amp;modeltrim=F-150_F24-XLT&amp;year=2019&amp;fyear=2019&amp;Order=LowPri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4"/>
  <dimension ref="C7:V131"/>
  <sheetViews>
    <sheetView tabSelected="1" topLeftCell="B1" zoomScale="85" zoomScaleNormal="85" workbookViewId="0">
      <selection activeCell="C20" sqref="C20:D20"/>
    </sheetView>
  </sheetViews>
  <sheetFormatPr baseColWidth="10" defaultColWidth="0" defaultRowHeight="15" x14ac:dyDescent="0.25"/>
  <cols>
    <col min="1" max="1" width="0" style="1" hidden="1" customWidth="1"/>
    <col min="2" max="2" width="5.28515625" style="1" customWidth="1"/>
    <col min="3" max="3" width="57.85546875" style="1" customWidth="1"/>
    <col min="4" max="4" width="18" style="1" customWidth="1"/>
    <col min="5" max="5" width="2.85546875" style="1" customWidth="1"/>
    <col min="6" max="6" width="17.7109375" style="1" customWidth="1"/>
    <col min="7" max="10" width="15" style="1" customWidth="1"/>
    <col min="11" max="11" width="16.28515625" style="1" customWidth="1"/>
    <col min="12" max="12" width="19.7109375" style="1" customWidth="1"/>
    <col min="13" max="13" width="4.7109375" style="1" customWidth="1"/>
    <col min="14" max="14" width="2.85546875" style="1" hidden="1" customWidth="1"/>
    <col min="15" max="22" width="24.140625" style="1" hidden="1" customWidth="1"/>
    <col min="23" max="16384" width="0" style="1" hidden="1"/>
  </cols>
  <sheetData>
    <row r="7" spans="3:12" ht="30" customHeight="1" x14ac:dyDescent="0.35">
      <c r="C7" s="243" t="s">
        <v>138</v>
      </c>
    </row>
    <row r="8" spans="3:12" ht="15" customHeight="1" x14ac:dyDescent="0.25">
      <c r="C8" s="236" t="s">
        <v>160</v>
      </c>
    </row>
    <row r="9" spans="3:12" ht="15" customHeight="1" x14ac:dyDescent="0.25">
      <c r="C9" s="246">
        <v>43506</v>
      </c>
    </row>
    <row r="10" spans="3:12" ht="20.25" customHeight="1" x14ac:dyDescent="0.3">
      <c r="C10" s="241"/>
    </row>
    <row r="11" spans="3:12" s="245" customFormat="1" ht="21" x14ac:dyDescent="0.35">
      <c r="C11" s="242" t="s">
        <v>96</v>
      </c>
      <c r="D11" s="257" t="s">
        <v>137</v>
      </c>
      <c r="E11" s="244"/>
      <c r="F11" s="242" t="s">
        <v>97</v>
      </c>
      <c r="G11" s="244"/>
    </row>
    <row r="12" spans="3:12" ht="5.25" customHeight="1" thickBot="1" x14ac:dyDescent="0.4">
      <c r="C12" s="244"/>
      <c r="D12" s="244"/>
      <c r="E12" s="244"/>
      <c r="F12" s="244"/>
      <c r="G12" s="244"/>
    </row>
    <row r="13" spans="3:12" ht="15.75" customHeight="1" thickBot="1" x14ac:dyDescent="0.3">
      <c r="C13" s="292" t="s">
        <v>105</v>
      </c>
      <c r="D13" s="293"/>
      <c r="F13" s="294" t="s">
        <v>115</v>
      </c>
      <c r="G13" s="295" t="s">
        <v>117</v>
      </c>
      <c r="H13" s="296">
        <v>0</v>
      </c>
      <c r="I13" s="297" t="s">
        <v>120</v>
      </c>
      <c r="J13" s="298">
        <v>0</v>
      </c>
      <c r="K13" s="290" t="s">
        <v>121</v>
      </c>
      <c r="L13" s="271" t="s">
        <v>122</v>
      </c>
    </row>
    <row r="14" spans="3:12" ht="15" customHeight="1" thickBot="1" x14ac:dyDescent="0.3">
      <c r="C14" s="2" t="s">
        <v>98</v>
      </c>
      <c r="D14" s="3">
        <v>20000</v>
      </c>
      <c r="F14" s="284">
        <v>0</v>
      </c>
      <c r="G14" s="4" t="s">
        <v>118</v>
      </c>
      <c r="H14" s="5" t="s">
        <v>119</v>
      </c>
      <c r="I14" s="4" t="s">
        <v>118</v>
      </c>
      <c r="J14" s="5" t="s">
        <v>119</v>
      </c>
      <c r="K14" s="291"/>
      <c r="L14" s="272"/>
    </row>
    <row r="15" spans="3:12" x14ac:dyDescent="0.25">
      <c r="C15" s="6" t="s">
        <v>99</v>
      </c>
      <c r="D15" s="7">
        <v>1.2</v>
      </c>
      <c r="F15" s="249" t="s">
        <v>116</v>
      </c>
      <c r="G15" s="8">
        <f>'Feuille de calcul'!D9</f>
        <v>4950</v>
      </c>
      <c r="H15" s="9">
        <f>'Feuille de calcul'!E9</f>
        <v>0</v>
      </c>
      <c r="I15" s="10">
        <f>'Feuille de calcul'!F9</f>
        <v>10497.5</v>
      </c>
      <c r="J15" s="11">
        <f>'Feuille de calcul'!G9</f>
        <v>0</v>
      </c>
      <c r="K15" s="237" t="s">
        <v>95</v>
      </c>
      <c r="L15" s="238" t="s">
        <v>95</v>
      </c>
    </row>
    <row r="16" spans="3:12" ht="15.75" thickBot="1" x14ac:dyDescent="0.3">
      <c r="C16" s="251" t="s">
        <v>100</v>
      </c>
      <c r="D16" s="36">
        <v>7.0000000000000007E-2</v>
      </c>
      <c r="F16" s="231" t="s">
        <v>7</v>
      </c>
      <c r="G16" s="232">
        <f>('Feuille de calcul'!E106+'Feuille de calcul'!E105)*-2</f>
        <v>792.2</v>
      </c>
      <c r="H16" s="233">
        <f>-(1-(G16/$G$15))</f>
        <v>-0.83995959595959602</v>
      </c>
      <c r="I16" s="232">
        <f>'Feuille de calcul'!D112</f>
        <v>4009.1916666666671</v>
      </c>
      <c r="J16" s="234">
        <f>-(1-(I16/$I$15))</f>
        <v>-0.61808128919584027</v>
      </c>
      <c r="K16" s="232">
        <f>('Feuille de calcul'!D78-'Feuille de calcul'!D111)</f>
        <v>-77859.7</v>
      </c>
      <c r="L16" s="248" t="str">
        <f ca="1">IFERROR('Feuille de calcul'!H573,"Immediate")</f>
        <v>Immediate</v>
      </c>
    </row>
    <row r="17" spans="3:17" ht="15" hidden="1" customHeight="1" thickBot="1" x14ac:dyDescent="0.3">
      <c r="C17" s="235" t="s">
        <v>134</v>
      </c>
      <c r="D17" s="250">
        <v>0</v>
      </c>
    </row>
    <row r="18" spans="3:17" ht="15.75" thickBot="1" x14ac:dyDescent="0.3"/>
    <row r="19" spans="3:17" ht="15.75" customHeight="1" thickBot="1" x14ac:dyDescent="0.3">
      <c r="C19" s="288" t="s">
        <v>106</v>
      </c>
      <c r="D19" s="289"/>
    </row>
    <row r="20" spans="3:17" ht="28.15" customHeight="1" x14ac:dyDescent="0.25">
      <c r="C20" s="276" t="s">
        <v>159</v>
      </c>
      <c r="D20" s="277"/>
      <c r="Q20" s="13"/>
    </row>
    <row r="21" spans="3:17" x14ac:dyDescent="0.25">
      <c r="C21" s="258" t="s">
        <v>101</v>
      </c>
      <c r="D21" s="259">
        <f>VLOOKUP(C20,'Feuille de calcul'!C116:H120,2)</f>
        <v>48000</v>
      </c>
    </row>
    <row r="22" spans="3:17" x14ac:dyDescent="0.25">
      <c r="C22" s="14" t="s">
        <v>139</v>
      </c>
      <c r="D22" s="15">
        <v>0</v>
      </c>
    </row>
    <row r="23" spans="3:17" ht="15.75" customHeight="1" x14ac:dyDescent="0.25">
      <c r="C23" s="16" t="s">
        <v>102</v>
      </c>
      <c r="D23" s="17">
        <v>6</v>
      </c>
      <c r="N23" s="18"/>
    </row>
    <row r="24" spans="3:17" ht="15" customHeight="1" x14ac:dyDescent="0.25">
      <c r="C24" s="14" t="str">
        <f xml:space="preserve"> "Valeur résiduelle du camion après " &amp; D23 &amp; " ans (%)"</f>
        <v>Valeur résiduelle du camion après 6 ans (%)</v>
      </c>
      <c r="D24" s="19">
        <v>0.17</v>
      </c>
    </row>
    <row r="25" spans="3:17" ht="15" customHeight="1" x14ac:dyDescent="0.25">
      <c r="C25" s="20" t="str">
        <f xml:space="preserve"> "Valeur résiduelle du camion après " &amp; D23 &amp; " ans ($)"</f>
        <v>Valeur résiduelle du camion après 6 ans ($)</v>
      </c>
      <c r="D25" s="21">
        <f>(D21+D22)*D24</f>
        <v>8160.0000000000009</v>
      </c>
    </row>
    <row r="26" spans="3:17" ht="15.75" customHeight="1" x14ac:dyDescent="0.25">
      <c r="C26" s="14" t="s">
        <v>103</v>
      </c>
      <c r="D26" s="17">
        <f>VLOOKUP(C20,'Feuille de calcul'!C116:H120,3)</f>
        <v>17</v>
      </c>
    </row>
    <row r="27" spans="3:17" ht="15.75" thickBot="1" x14ac:dyDescent="0.3">
      <c r="C27" s="12" t="s">
        <v>104</v>
      </c>
      <c r="D27" s="22">
        <v>4.3499999999999997E-2</v>
      </c>
    </row>
    <row r="28" spans="3:17" ht="15.75" thickBot="1" x14ac:dyDescent="0.3"/>
    <row r="29" spans="3:17" x14ac:dyDescent="0.25">
      <c r="C29" s="299" t="s">
        <v>135</v>
      </c>
      <c r="D29" s="300"/>
    </row>
    <row r="30" spans="3:17" ht="15.75" thickBot="1" x14ac:dyDescent="0.3">
      <c r="C30" s="278" t="s">
        <v>136</v>
      </c>
      <c r="D30" s="279"/>
    </row>
    <row r="31" spans="3:17" x14ac:dyDescent="0.25">
      <c r="C31" s="239" t="s">
        <v>107</v>
      </c>
      <c r="D31" s="32">
        <f>VLOOKUP(C20,'Feuille de calcul'!C116:H120,6)</f>
        <v>35000</v>
      </c>
    </row>
    <row r="32" spans="3:17" x14ac:dyDescent="0.25">
      <c r="C32" s="23" t="s">
        <v>108</v>
      </c>
      <c r="D32" s="29">
        <v>0</v>
      </c>
      <c r="E32" s="24"/>
      <c r="F32" s="25"/>
      <c r="G32" s="26"/>
    </row>
    <row r="33" spans="3:9" ht="15" hidden="1" customHeight="1" x14ac:dyDescent="0.25">
      <c r="D33" s="270"/>
      <c r="F33" s="25"/>
      <c r="G33" s="26"/>
    </row>
    <row r="34" spans="3:9" ht="15" hidden="1" customHeight="1" x14ac:dyDescent="0.25">
      <c r="D34" s="270"/>
      <c r="E34" s="24"/>
      <c r="F34" s="25"/>
    </row>
    <row r="35" spans="3:9" ht="15" hidden="1" customHeight="1" x14ac:dyDescent="0.25">
      <c r="C35" s="27"/>
      <c r="D35" s="15"/>
      <c r="E35" s="24"/>
      <c r="F35" s="25"/>
    </row>
    <row r="36" spans="3:9" ht="15" customHeight="1" x14ac:dyDescent="0.25">
      <c r="C36" s="33" t="s">
        <v>112</v>
      </c>
      <c r="D36" s="17">
        <v>4</v>
      </c>
      <c r="E36" s="24"/>
      <c r="F36" s="18"/>
      <c r="G36" s="18"/>
      <c r="H36" s="18"/>
      <c r="I36" s="18"/>
    </row>
    <row r="37" spans="3:9" ht="15" customHeight="1" x14ac:dyDescent="0.25">
      <c r="C37" s="28" t="s">
        <v>109</v>
      </c>
      <c r="D37" s="29">
        <v>3500</v>
      </c>
      <c r="F37" s="18"/>
      <c r="G37" s="18"/>
      <c r="H37" s="18"/>
      <c r="I37" s="18"/>
    </row>
    <row r="38" spans="3:9" ht="15" hidden="1" customHeight="1" x14ac:dyDescent="0.25">
      <c r="C38" s="30"/>
      <c r="D38" s="31"/>
    </row>
    <row r="39" spans="3:9" ht="15" hidden="1" customHeight="1" x14ac:dyDescent="0.25">
      <c r="C39" s="28"/>
      <c r="D39" s="32"/>
    </row>
    <row r="40" spans="3:9" ht="15" customHeight="1" x14ac:dyDescent="0.25">
      <c r="C40" s="33" t="s">
        <v>110</v>
      </c>
      <c r="D40" s="76">
        <v>0.54</v>
      </c>
    </row>
    <row r="41" spans="3:9" ht="15" customHeight="1" x14ac:dyDescent="0.25">
      <c r="C41" s="33" t="s">
        <v>111</v>
      </c>
      <c r="D41" s="256">
        <f>VLOOKUP(C20,'Feuille de calcul'!C116:H120,4)</f>
        <v>28</v>
      </c>
      <c r="E41" s="18"/>
    </row>
    <row r="42" spans="3:9" ht="15" hidden="1" customHeight="1" x14ac:dyDescent="0.25">
      <c r="D42" s="270"/>
      <c r="E42" s="18"/>
    </row>
    <row r="43" spans="3:9" ht="15" customHeight="1" x14ac:dyDescent="0.25">
      <c r="C43" s="33" t="s">
        <v>113</v>
      </c>
      <c r="D43" s="17">
        <v>12</v>
      </c>
      <c r="E43" s="18"/>
    </row>
    <row r="44" spans="3:9" ht="15" customHeight="1" x14ac:dyDescent="0.25">
      <c r="C44" s="239" t="str">
        <f xml:space="preserve"> "Estimation $ de remplacement des batteries après " &amp; D43 &amp; " ans"</f>
        <v>Estimation $ de remplacement des batteries après 12 ans</v>
      </c>
      <c r="D44" s="32">
        <f>5000</f>
        <v>5000</v>
      </c>
      <c r="E44" s="18"/>
    </row>
    <row r="45" spans="3:9" ht="15" customHeight="1" x14ac:dyDescent="0.25">
      <c r="C45" s="33" t="s">
        <v>114</v>
      </c>
      <c r="D45" s="17">
        <v>12</v>
      </c>
      <c r="E45" s="18"/>
    </row>
    <row r="46" spans="3:9" ht="15" customHeight="1" thickBot="1" x14ac:dyDescent="0.3">
      <c r="C46" s="12" t="str">
        <f xml:space="preserve"> "Valeur résiduelle du système Ecotuned après " &amp; D45 &amp; " ans"</f>
        <v>Valeur résiduelle du système Ecotuned après 12 ans</v>
      </c>
      <c r="D46" s="240">
        <v>3000</v>
      </c>
    </row>
    <row r="47" spans="3:9" ht="15" customHeight="1" x14ac:dyDescent="0.25">
      <c r="C47" s="252"/>
      <c r="D47" s="252"/>
      <c r="E47" s="252"/>
    </row>
    <row r="48" spans="3:9" ht="15" customHeight="1" x14ac:dyDescent="0.25"/>
    <row r="49" spans="3:3" ht="15" hidden="1" customHeight="1" x14ac:dyDescent="0.25"/>
    <row r="50" spans="3:3" ht="15" hidden="1" customHeight="1" x14ac:dyDescent="0.25"/>
    <row r="51" spans="3:3" ht="15" hidden="1" customHeight="1" x14ac:dyDescent="0.25"/>
    <row r="52" spans="3:3" ht="15" hidden="1" customHeight="1" x14ac:dyDescent="0.25">
      <c r="C52" s="236"/>
    </row>
    <row r="53" spans="3:3" ht="15" hidden="1" customHeight="1" x14ac:dyDescent="0.25"/>
    <row r="54" spans="3:3" ht="15" hidden="1" customHeight="1" x14ac:dyDescent="0.25"/>
    <row r="55" spans="3:3" ht="15" hidden="1" customHeight="1" x14ac:dyDescent="0.25"/>
    <row r="56" spans="3:3" ht="15" hidden="1" customHeight="1" x14ac:dyDescent="0.25"/>
    <row r="57" spans="3:3" ht="15" hidden="1" customHeight="1" x14ac:dyDescent="0.25"/>
    <row r="58" spans="3:3" ht="15" hidden="1" customHeight="1" x14ac:dyDescent="0.25"/>
    <row r="59" spans="3:3" ht="15" hidden="1" customHeight="1" x14ac:dyDescent="0.25"/>
    <row r="60" spans="3:3" ht="15" hidden="1" customHeight="1" x14ac:dyDescent="0.25"/>
    <row r="61" spans="3:3" ht="15" hidden="1" customHeight="1" x14ac:dyDescent="0.25"/>
    <row r="62" spans="3:3" ht="15" hidden="1" customHeight="1" x14ac:dyDescent="0.25"/>
    <row r="63" spans="3:3" ht="15" hidden="1" customHeight="1" x14ac:dyDescent="0.25"/>
    <row r="64" spans="3:3" ht="15" hidden="1" customHeight="1" x14ac:dyDescent="0.25"/>
    <row r="65" spans="6:16" ht="15" hidden="1" customHeight="1" x14ac:dyDescent="0.25"/>
    <row r="66" spans="6:16" ht="15" hidden="1" customHeight="1" x14ac:dyDescent="0.25"/>
    <row r="67" spans="6:16" ht="15" hidden="1" customHeight="1" x14ac:dyDescent="0.25"/>
    <row r="68" spans="6:16" ht="15" hidden="1" customHeight="1" x14ac:dyDescent="0.25"/>
    <row r="69" spans="6:16" ht="15" hidden="1" customHeight="1" x14ac:dyDescent="0.25"/>
    <row r="70" spans="6:16" ht="15" hidden="1" customHeight="1" x14ac:dyDescent="0.25"/>
    <row r="71" spans="6:16" ht="15" hidden="1" customHeight="1" x14ac:dyDescent="0.25"/>
    <row r="72" spans="6:16" ht="15" hidden="1" customHeight="1" x14ac:dyDescent="0.25"/>
    <row r="73" spans="6:16" ht="15" hidden="1" customHeight="1" x14ac:dyDescent="0.25"/>
    <row r="74" spans="6:16" ht="15" hidden="1" customHeight="1" x14ac:dyDescent="0.25"/>
    <row r="75" spans="6:16" ht="15" hidden="1" customHeight="1" x14ac:dyDescent="0.25">
      <c r="N75" s="37">
        <f>'Feuille de calcul'!E10</f>
        <v>-0.3800606060606061</v>
      </c>
      <c r="O75" s="10">
        <f>'Feuille de calcul'!F10</f>
        <v>7798.9749999999985</v>
      </c>
      <c r="P75" s="38">
        <f>'Feuille de calcul'!G10</f>
        <v>-0.2570635865682307</v>
      </c>
    </row>
    <row r="76" spans="6:16" ht="15" hidden="1" customHeight="1" x14ac:dyDescent="0.25">
      <c r="N76" s="37">
        <f>'Feuille de calcul'!E11</f>
        <v>-0.99</v>
      </c>
      <c r="O76" s="10">
        <f>'Feuille de calcul'!F11</f>
        <v>13982.908333333331</v>
      </c>
      <c r="P76" s="38">
        <f>'Feuille de calcul'!G11</f>
        <v>0.33202270381836924</v>
      </c>
    </row>
    <row r="77" spans="6:16" ht="15" hidden="1" customHeight="1" x14ac:dyDescent="0.25">
      <c r="H77" s="39"/>
      <c r="I77" s="39"/>
      <c r="J77" s="39"/>
      <c r="K77" s="39"/>
      <c r="L77" s="49"/>
    </row>
    <row r="78" spans="6:16" ht="15.75" hidden="1" customHeight="1" x14ac:dyDescent="0.25">
      <c r="F78" s="40"/>
      <c r="M78" s="39"/>
      <c r="N78" s="39"/>
      <c r="O78" s="41" t="str">
        <f>'Feuille de calcul'!C10</f>
        <v>Hybrid</v>
      </c>
      <c r="P78" s="8">
        <f>'Feuille de calcul'!D10</f>
        <v>3068.7</v>
      </c>
    </row>
    <row r="79" spans="6:16" ht="15.75" hidden="1" customHeight="1" x14ac:dyDescent="0.25">
      <c r="F79" s="40"/>
      <c r="G79" s="24"/>
      <c r="H79" s="18"/>
      <c r="O79" s="41" t="str">
        <f>'Feuille de calcul'!C11</f>
        <v>VIA Motors</v>
      </c>
      <c r="P79" s="8">
        <f>'Feuille de calcul'!D11</f>
        <v>49.500000000000071</v>
      </c>
    </row>
    <row r="80" spans="6:16" hidden="1" x14ac:dyDescent="0.25">
      <c r="F80" s="40"/>
      <c r="G80" s="24"/>
    </row>
    <row r="81" spans="3:22" ht="15.75" hidden="1" thickBot="1" x14ac:dyDescent="0.3">
      <c r="F81" s="40"/>
      <c r="G81" s="24"/>
      <c r="K81" s="25"/>
      <c r="L81" s="25"/>
    </row>
    <row r="82" spans="3:22" ht="15.75" hidden="1" x14ac:dyDescent="0.25">
      <c r="F82" s="40"/>
      <c r="G82" s="24"/>
      <c r="K82" s="25"/>
      <c r="L82" s="25"/>
      <c r="M82" s="25"/>
      <c r="O82" s="280" t="s">
        <v>10</v>
      </c>
      <c r="P82" s="281" t="e">
        <f>#REF!</f>
        <v>#REF!</v>
      </c>
      <c r="Q82" s="281" t="e">
        <f>#REF!</f>
        <v>#REF!</v>
      </c>
      <c r="R82" s="281" t="e">
        <f>#REF!</f>
        <v>#REF!</v>
      </c>
      <c r="S82" s="282" t="e">
        <f>#REF!</f>
        <v>#REF!</v>
      </c>
    </row>
    <row r="83" spans="3:22" hidden="1" x14ac:dyDescent="0.25">
      <c r="F83" s="42"/>
      <c r="G83" s="24"/>
      <c r="K83" s="25"/>
      <c r="L83" s="25"/>
      <c r="M83" s="25"/>
      <c r="O83" s="283" t="e">
        <f>#REF!</f>
        <v>#REF!</v>
      </c>
      <c r="P83" s="285" t="e">
        <f>#REF!</f>
        <v>#REF!</v>
      </c>
      <c r="Q83" s="286" t="e">
        <f>#REF!</f>
        <v>#REF!</v>
      </c>
      <c r="R83" s="285" t="e">
        <f>#REF!</f>
        <v>#REF!</v>
      </c>
      <c r="S83" s="287" t="e">
        <f>#REF!</f>
        <v>#REF!</v>
      </c>
      <c r="T83" s="40"/>
      <c r="U83" s="40"/>
      <c r="V83" s="40"/>
    </row>
    <row r="84" spans="3:22" ht="15.75" hidden="1" thickBot="1" x14ac:dyDescent="0.3">
      <c r="F84" s="40"/>
      <c r="G84" s="24"/>
      <c r="K84" s="25"/>
      <c r="L84" s="25"/>
      <c r="M84" s="25"/>
      <c r="O84" s="284" t="e">
        <f>#REF!</f>
        <v>#REF!</v>
      </c>
      <c r="P84" s="4" t="e">
        <f>#REF!</f>
        <v>#REF!</v>
      </c>
      <c r="Q84" s="5" t="e">
        <f>#REF!</f>
        <v>#REF!</v>
      </c>
      <c r="R84" s="4" t="e">
        <f>#REF!</f>
        <v>#REF!</v>
      </c>
      <c r="S84" s="43" t="e">
        <f>#REF!</f>
        <v>#REF!</v>
      </c>
      <c r="T84" s="40"/>
      <c r="U84" s="40"/>
      <c r="V84" s="40"/>
    </row>
    <row r="85" spans="3:22" hidden="1" x14ac:dyDescent="0.25">
      <c r="F85" s="25"/>
      <c r="G85" s="25"/>
      <c r="K85" s="25"/>
      <c r="L85" s="25"/>
      <c r="M85" s="25"/>
      <c r="O85" s="41" t="e">
        <f>#REF!</f>
        <v>#REF!</v>
      </c>
      <c r="P85" s="8" t="e">
        <f>#REF!</f>
        <v>#REF!</v>
      </c>
      <c r="Q85" s="9" t="e">
        <f>#REF!</f>
        <v>#REF!</v>
      </c>
      <c r="R85" s="10" t="e">
        <f>#REF!</f>
        <v>#REF!</v>
      </c>
      <c r="S85" s="44" t="e">
        <f>#REF!</f>
        <v>#REF!</v>
      </c>
      <c r="T85" s="40"/>
      <c r="U85" s="40"/>
      <c r="V85" s="40"/>
    </row>
    <row r="86" spans="3:22" ht="15.75" hidden="1" thickBot="1" x14ac:dyDescent="0.3">
      <c r="M86" s="25"/>
      <c r="O86" s="45" t="e">
        <f>#REF!</f>
        <v>#REF!</v>
      </c>
      <c r="P86" s="46" t="e">
        <f>#REF!</f>
        <v>#REF!</v>
      </c>
      <c r="Q86" s="47" t="e">
        <f>#REF!</f>
        <v>#REF!</v>
      </c>
      <c r="R86" s="46" t="e">
        <f>#REF!</f>
        <v>#REF!</v>
      </c>
      <c r="S86" s="48" t="e">
        <f>#REF!</f>
        <v>#REF!</v>
      </c>
      <c r="T86" s="40"/>
      <c r="U86" s="40"/>
      <c r="V86" s="40"/>
    </row>
    <row r="87" spans="3:22" hidden="1" x14ac:dyDescent="0.25">
      <c r="T87" s="40"/>
      <c r="U87" s="40"/>
      <c r="V87" s="40"/>
    </row>
    <row r="88" spans="3:22" hidden="1" x14ac:dyDescent="0.25">
      <c r="T88" s="40"/>
      <c r="U88" s="40"/>
      <c r="V88" s="40"/>
    </row>
    <row r="89" spans="3:22" hidden="1" x14ac:dyDescent="0.25">
      <c r="O89" s="273" t="s">
        <v>11</v>
      </c>
      <c r="P89" s="273"/>
      <c r="Q89" s="273"/>
      <c r="T89" s="40"/>
      <c r="U89" s="40"/>
      <c r="V89" s="40"/>
    </row>
    <row r="90" spans="3:22" ht="31.5" hidden="1" x14ac:dyDescent="0.25">
      <c r="O90" s="273"/>
      <c r="P90" s="273"/>
      <c r="Q90" s="273"/>
      <c r="R90" s="39"/>
      <c r="S90" s="39"/>
      <c r="T90" s="40"/>
      <c r="U90" s="40"/>
      <c r="V90" s="40"/>
    </row>
    <row r="91" spans="3:22" ht="32.25" hidden="1" thickBot="1" x14ac:dyDescent="0.3">
      <c r="O91" s="39"/>
      <c r="P91" s="39"/>
      <c r="Q91" s="39"/>
      <c r="T91" s="40"/>
      <c r="U91" s="40"/>
      <c r="V91" s="40"/>
    </row>
    <row r="92" spans="3:22" ht="31.5" hidden="1" x14ac:dyDescent="0.25">
      <c r="O92" s="274" t="s">
        <v>12</v>
      </c>
      <c r="P92" s="275"/>
      <c r="R92" s="39"/>
      <c r="S92" s="39"/>
      <c r="T92" s="40"/>
      <c r="U92" s="40"/>
      <c r="V92" s="40"/>
    </row>
    <row r="93" spans="3:22" hidden="1" x14ac:dyDescent="0.25">
      <c r="C93" s="50"/>
      <c r="O93" s="51" t="str">
        <f>O97</f>
        <v>Profit</v>
      </c>
      <c r="P93" s="52">
        <f>SUM('Feuille de calcul'!D543:AN543)</f>
        <v>31</v>
      </c>
      <c r="R93" s="40"/>
      <c r="T93" s="40"/>
      <c r="U93" s="40"/>
      <c r="V93" s="40"/>
    </row>
    <row r="94" spans="3:22" hidden="1" x14ac:dyDescent="0.25">
      <c r="C94" s="50"/>
      <c r="O94" s="53" t="s">
        <v>13</v>
      </c>
      <c r="P94" s="54">
        <f>SUM('Feuille de calcul'!D543:AN543)/SUM('Feuille de calcul'!D544:AN544)</f>
        <v>0.93939393939393945</v>
      </c>
      <c r="T94" s="40"/>
      <c r="U94" s="40"/>
      <c r="V94" s="40"/>
    </row>
    <row r="95" spans="3:22" hidden="1" x14ac:dyDescent="0.25">
      <c r="C95" s="50"/>
      <c r="O95" s="55" t="s">
        <v>14</v>
      </c>
      <c r="P95" s="54" t="e">
        <f>#REF!</f>
        <v>#REF!</v>
      </c>
      <c r="T95" s="40"/>
      <c r="U95" s="40"/>
      <c r="V95" s="40"/>
    </row>
    <row r="96" spans="3:22" ht="15.75" hidden="1" x14ac:dyDescent="0.25">
      <c r="C96" s="50"/>
      <c r="O96" s="56" t="s">
        <v>15</v>
      </c>
      <c r="P96" s="57"/>
      <c r="T96" s="40"/>
      <c r="U96" s="40"/>
      <c r="V96" s="40"/>
    </row>
    <row r="97" spans="3:22" hidden="1" x14ac:dyDescent="0.25">
      <c r="C97" s="50"/>
      <c r="O97" s="58" t="s">
        <v>16</v>
      </c>
      <c r="P97" s="59" t="e">
        <f>#REF!</f>
        <v>#REF!</v>
      </c>
      <c r="U97" s="40"/>
    </row>
    <row r="98" spans="3:22" ht="10.5" hidden="1" customHeight="1" x14ac:dyDescent="0.25">
      <c r="C98" s="50"/>
      <c r="O98" s="55" t="s">
        <v>13</v>
      </c>
      <c r="P98" s="54" t="e">
        <f>#REF!</f>
        <v>#REF!</v>
      </c>
    </row>
    <row r="99" spans="3:22" ht="10.5" hidden="1" customHeight="1" thickBot="1" x14ac:dyDescent="0.3">
      <c r="C99" s="50"/>
      <c r="O99" s="60" t="s">
        <v>14</v>
      </c>
      <c r="P99" s="61" t="e">
        <f>#REF!</f>
        <v>#REF!</v>
      </c>
      <c r="T99" s="40"/>
      <c r="U99" s="40"/>
      <c r="V99" s="40"/>
    </row>
    <row r="100" spans="3:22" ht="10.5" hidden="1" customHeight="1" x14ac:dyDescent="0.25">
      <c r="C100" s="62"/>
    </row>
    <row r="101" spans="3:22" ht="10.5" hidden="1" customHeight="1" x14ac:dyDescent="0.25">
      <c r="C101" s="63"/>
    </row>
    <row r="102" spans="3:22" hidden="1" x14ac:dyDescent="0.25">
      <c r="C102" s="64"/>
    </row>
    <row r="103" spans="3:22" hidden="1" x14ac:dyDescent="0.25">
      <c r="C103" s="64"/>
      <c r="O103" s="65" t="s">
        <v>17</v>
      </c>
      <c r="P103" s="29">
        <v>750</v>
      </c>
    </row>
    <row r="104" spans="3:22" hidden="1" x14ac:dyDescent="0.25">
      <c r="C104" s="63"/>
      <c r="O104" s="66" t="s">
        <v>12</v>
      </c>
      <c r="P104" s="67"/>
    </row>
    <row r="105" spans="3:22" hidden="1" x14ac:dyDescent="0.25">
      <c r="C105" s="50"/>
      <c r="O105" s="65" t="s">
        <v>18</v>
      </c>
      <c r="P105" s="29">
        <v>30000</v>
      </c>
    </row>
    <row r="106" spans="3:22" hidden="1" x14ac:dyDescent="0.25">
      <c r="C106" s="50"/>
      <c r="O106" s="66" t="s">
        <v>15</v>
      </c>
      <c r="P106" s="67"/>
    </row>
    <row r="107" spans="3:22" hidden="1" x14ac:dyDescent="0.25">
      <c r="C107" s="50"/>
      <c r="O107" s="65" t="s">
        <v>19</v>
      </c>
      <c r="P107" s="29">
        <v>750</v>
      </c>
    </row>
    <row r="108" spans="3:22" hidden="1" x14ac:dyDescent="0.25">
      <c r="C108" s="50"/>
      <c r="O108" s="65" t="s">
        <v>20</v>
      </c>
      <c r="P108" s="17">
        <v>4</v>
      </c>
    </row>
    <row r="109" spans="3:22" ht="30" hidden="1" x14ac:dyDescent="0.25">
      <c r="O109" s="68" t="s">
        <v>21</v>
      </c>
      <c r="P109" s="34">
        <v>7.0000000000000007E-2</v>
      </c>
    </row>
    <row r="110" spans="3:22" ht="15.75" hidden="1" thickBot="1" x14ac:dyDescent="0.3">
      <c r="O110" s="69" t="s">
        <v>22</v>
      </c>
      <c r="P110" s="70">
        <v>4</v>
      </c>
    </row>
    <row r="111" spans="3:22" hidden="1" x14ac:dyDescent="0.25"/>
    <row r="112" spans="3:22" hidden="1" x14ac:dyDescent="0.25"/>
    <row r="113" spans="15:16" hidden="1" x14ac:dyDescent="0.25"/>
    <row r="114" spans="15:16" ht="15.75" hidden="1" thickBot="1" x14ac:dyDescent="0.3"/>
    <row r="115" spans="15:16" ht="15.75" hidden="1" thickBot="1" x14ac:dyDescent="0.3">
      <c r="O115" s="71" t="s">
        <v>23</v>
      </c>
      <c r="P115" s="72"/>
    </row>
    <row r="116" spans="15:16" hidden="1" x14ac:dyDescent="0.25">
      <c r="O116" s="73" t="s">
        <v>24</v>
      </c>
      <c r="P116" s="74">
        <v>33240</v>
      </c>
    </row>
    <row r="117" spans="15:16" ht="30" hidden="1" x14ac:dyDescent="0.25">
      <c r="O117" s="75" t="s">
        <v>25</v>
      </c>
      <c r="P117" s="76">
        <v>0.25</v>
      </c>
    </row>
    <row r="118" spans="15:16" hidden="1" x14ac:dyDescent="0.25">
      <c r="O118" s="77" t="s">
        <v>26</v>
      </c>
      <c r="P118" s="17">
        <v>6</v>
      </c>
    </row>
    <row r="119" spans="15:16" ht="15.75" hidden="1" thickBot="1" x14ac:dyDescent="0.3">
      <c r="O119" s="78" t="s">
        <v>27</v>
      </c>
      <c r="P119" s="79">
        <v>0.2</v>
      </c>
    </row>
    <row r="120" spans="15:16" ht="15.75" hidden="1" thickBot="1" x14ac:dyDescent="0.3"/>
    <row r="121" spans="15:16" ht="15.75" hidden="1" thickBot="1" x14ac:dyDescent="0.3">
      <c r="O121" s="80" t="s">
        <v>28</v>
      </c>
      <c r="P121" s="81"/>
    </row>
    <row r="122" spans="15:16" hidden="1" x14ac:dyDescent="0.25">
      <c r="O122" s="73" t="s">
        <v>29</v>
      </c>
      <c r="P122" s="74">
        <v>95000</v>
      </c>
    </row>
    <row r="123" spans="15:16" hidden="1" x14ac:dyDescent="0.25">
      <c r="O123" s="77" t="s">
        <v>30</v>
      </c>
      <c r="P123" s="17">
        <v>6</v>
      </c>
    </row>
    <row r="124" spans="15:16" hidden="1" x14ac:dyDescent="0.25">
      <c r="O124" s="82" t="s">
        <v>27</v>
      </c>
      <c r="P124" s="34">
        <v>0.2</v>
      </c>
    </row>
    <row r="125" spans="15:16" ht="15.75" hidden="1" thickBot="1" x14ac:dyDescent="0.3">
      <c r="O125" s="83" t="s">
        <v>31</v>
      </c>
      <c r="P125" s="84">
        <v>-8000</v>
      </c>
    </row>
    <row r="126" spans="15:16" hidden="1" x14ac:dyDescent="0.25"/>
    <row r="127" spans="15:16" hidden="1" x14ac:dyDescent="0.25"/>
    <row r="128" spans="15:16" hidden="1" x14ac:dyDescent="0.25"/>
    <row r="129" hidden="1" x14ac:dyDescent="0.25"/>
    <row r="130" hidden="1" x14ac:dyDescent="0.25"/>
    <row r="131" hidden="1" x14ac:dyDescent="0.25"/>
  </sheetData>
  <sheetProtection algorithmName="SHA-512" hashValue="vU4yy5HIww+yCF9wCUfVwD2J+QASFmI2cYzG6Wc9bo1J6ocFSaBWYOpt+IPmcRGmbJMLcJcTtKaUxcYo30SCdQ==" saltValue="lrfzeMyyLWwJp7c2RoqpKA==" spinCount="100000" sheet="1" objects="1" scenarios="1" selectLockedCells="1"/>
  <mergeCells count="16">
    <mergeCell ref="L13:L14"/>
    <mergeCell ref="O89:Q90"/>
    <mergeCell ref="O92:P92"/>
    <mergeCell ref="C20:D20"/>
    <mergeCell ref="C30:D30"/>
    <mergeCell ref="O82:S82"/>
    <mergeCell ref="O83:O84"/>
    <mergeCell ref="P83:Q83"/>
    <mergeCell ref="R83:S83"/>
    <mergeCell ref="C19:D19"/>
    <mergeCell ref="K13:K14"/>
    <mergeCell ref="C13:D13"/>
    <mergeCell ref="F13:F14"/>
    <mergeCell ref="G13:H13"/>
    <mergeCell ref="I13:J13"/>
    <mergeCell ref="C29:D29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'Feuille de calcul'!$C$116:$C$120</xm:f>
          </x14:formula1>
          <xm:sqref>C20:D20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5"/>
  <dimension ref="A1:AS611"/>
  <sheetViews>
    <sheetView zoomScale="85" zoomScaleNormal="85" workbookViewId="0">
      <selection activeCell="F119" sqref="F119"/>
    </sheetView>
  </sheetViews>
  <sheetFormatPr baseColWidth="10" defaultColWidth="0" defaultRowHeight="15" x14ac:dyDescent="0.25"/>
  <cols>
    <col min="1" max="2" width="4.140625" style="1" customWidth="1"/>
    <col min="3" max="3" width="39.140625" style="1" customWidth="1"/>
    <col min="4" max="4" width="16.28515625" style="1" customWidth="1"/>
    <col min="5" max="41" width="13.85546875" style="1" customWidth="1"/>
    <col min="42" max="45" width="0" style="1" hidden="1" customWidth="1"/>
    <col min="46" max="16384" width="13.85546875" style="1" hidden="1"/>
  </cols>
  <sheetData>
    <row r="1" spans="2:39" s="85" customFormat="1" x14ac:dyDescent="0.25"/>
    <row r="2" spans="2:39" s="85" customFormat="1" x14ac:dyDescent="0.25"/>
    <row r="3" spans="2:39" s="85" customFormat="1" ht="31.5" x14ac:dyDescent="0.5">
      <c r="C3" s="86" t="s">
        <v>154</v>
      </c>
    </row>
    <row r="4" spans="2:39" s="85" customFormat="1" ht="15.75" thickBot="1" x14ac:dyDescent="0.3"/>
    <row r="5" spans="2:39" s="85" customFormat="1" ht="15.75" hidden="1" thickBot="1" x14ac:dyDescent="0.3"/>
    <row r="6" spans="2:39" s="85" customFormat="1" hidden="1" x14ac:dyDescent="0.25">
      <c r="C6" s="313" t="s">
        <v>32</v>
      </c>
      <c r="D6" s="314"/>
      <c r="E6" s="314"/>
      <c r="F6" s="314"/>
      <c r="G6" s="315"/>
    </row>
    <row r="7" spans="2:39" s="85" customFormat="1" ht="15" hidden="1" customHeight="1" x14ac:dyDescent="0.25">
      <c r="C7" s="283" t="s">
        <v>33</v>
      </c>
      <c r="D7" s="285" t="s">
        <v>34</v>
      </c>
      <c r="E7" s="286"/>
      <c r="F7" s="317" t="s">
        <v>35</v>
      </c>
      <c r="G7" s="286"/>
    </row>
    <row r="8" spans="2:39" s="85" customFormat="1" ht="15" hidden="1" customHeight="1" x14ac:dyDescent="0.25">
      <c r="C8" s="316"/>
      <c r="D8" s="87" t="s">
        <v>2</v>
      </c>
      <c r="E8" s="88" t="s">
        <v>3</v>
      </c>
      <c r="F8" s="87" t="s">
        <v>2</v>
      </c>
      <c r="G8" s="88" t="s">
        <v>3</v>
      </c>
      <c r="H8" s="89"/>
    </row>
    <row r="9" spans="2:39" s="85" customFormat="1" hidden="1" x14ac:dyDescent="0.25">
      <c r="C9" s="90" t="s">
        <v>5</v>
      </c>
      <c r="D9" s="8">
        <f>-E76-E75</f>
        <v>4950</v>
      </c>
      <c r="E9" s="9">
        <f>-($D$9-D9)/$D$9</f>
        <v>0</v>
      </c>
      <c r="F9" s="10">
        <f>D79</f>
        <v>10497.5</v>
      </c>
      <c r="G9" s="44">
        <f>-($F$9-F9)/$F$9</f>
        <v>0</v>
      </c>
      <c r="H9" s="89"/>
    </row>
    <row r="10" spans="2:39" s="85" customFormat="1" hidden="1" x14ac:dyDescent="0.25">
      <c r="C10" s="90" t="s">
        <v>36</v>
      </c>
      <c r="D10" s="8">
        <f>-E83-E82</f>
        <v>3068.7</v>
      </c>
      <c r="E10" s="37">
        <f>-($D$9-D10)/$D$9</f>
        <v>-0.3800606060606061</v>
      </c>
      <c r="F10" s="10">
        <f>D86</f>
        <v>7798.9749999999985</v>
      </c>
      <c r="G10" s="38">
        <f>-($F$9-F10)/$F$9</f>
        <v>-0.2570635865682307</v>
      </c>
      <c r="H10" s="89"/>
    </row>
    <row r="11" spans="2:39" ht="15" hidden="1" customHeight="1" x14ac:dyDescent="0.25">
      <c r="B11" s="91"/>
      <c r="C11" s="90" t="s">
        <v>37</v>
      </c>
      <c r="D11" s="8">
        <f>-E89-E91</f>
        <v>49.500000000000071</v>
      </c>
      <c r="E11" s="37">
        <f>-($D$9-D11)/$D$9</f>
        <v>-0.99</v>
      </c>
      <c r="F11" s="10">
        <f>D95</f>
        <v>13982.908333333331</v>
      </c>
      <c r="G11" s="38">
        <f>-($F$9-F11)/$F$9</f>
        <v>0.33202270381836924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</row>
    <row r="12" spans="2:39" ht="15" hidden="1" customHeight="1" thickBot="1" x14ac:dyDescent="0.3">
      <c r="B12" s="91"/>
      <c r="C12" s="45" t="s">
        <v>38</v>
      </c>
      <c r="D12" s="46">
        <f>-(E105+E106)*2</f>
        <v>792.2</v>
      </c>
      <c r="E12" s="47">
        <f>-($D$9-D12)/$D$9</f>
        <v>-0.83995959595959602</v>
      </c>
      <c r="F12" s="46">
        <f>D112</f>
        <v>4009.1916666666671</v>
      </c>
      <c r="G12" s="48">
        <f>-($F$9-F12)/$F$9</f>
        <v>-0.61808128919584016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</row>
    <row r="13" spans="2:39" ht="15" hidden="1" customHeight="1" x14ac:dyDescent="0.25">
      <c r="B13" s="91"/>
      <c r="E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</row>
    <row r="14" spans="2:39" ht="15" hidden="1" customHeight="1" x14ac:dyDescent="0.25">
      <c r="B14" s="91"/>
      <c r="E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</row>
    <row r="15" spans="2:39" ht="15" hidden="1" customHeight="1" x14ac:dyDescent="0.25">
      <c r="B15" s="91"/>
      <c r="E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</row>
    <row r="16" spans="2:39" hidden="1" x14ac:dyDescent="0.25">
      <c r="B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</row>
    <row r="17" spans="2:39" hidden="1" x14ac:dyDescent="0.25">
      <c r="B17" s="91"/>
      <c r="E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</row>
    <row r="18" spans="2:39" hidden="1" x14ac:dyDescent="0.25">
      <c r="B18" s="91"/>
      <c r="E18" s="91"/>
      <c r="F18" s="92"/>
      <c r="G18" s="92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</row>
    <row r="19" spans="2:39" hidden="1" x14ac:dyDescent="0.25">
      <c r="B19" s="91"/>
      <c r="E19" s="91"/>
      <c r="F19" s="92"/>
      <c r="G19" s="92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</row>
    <row r="20" spans="2:39" hidden="1" x14ac:dyDescent="0.25">
      <c r="B20" s="91"/>
      <c r="E20" s="91"/>
      <c r="F20" s="91"/>
      <c r="G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</row>
    <row r="21" spans="2:39" hidden="1" x14ac:dyDescent="0.25">
      <c r="B21" s="91"/>
      <c r="E21" s="91"/>
      <c r="F21" s="91"/>
      <c r="G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</row>
    <row r="22" spans="2:39" hidden="1" x14ac:dyDescent="0.25">
      <c r="B22" s="91"/>
      <c r="E22" s="91"/>
      <c r="F22" s="91"/>
      <c r="G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</row>
    <row r="23" spans="2:39" hidden="1" x14ac:dyDescent="0.25">
      <c r="B23" s="91"/>
      <c r="E23" s="91"/>
      <c r="F23" s="91"/>
      <c r="G23" s="91"/>
      <c r="H23" s="91"/>
      <c r="I23" s="91"/>
      <c r="J23" s="91"/>
      <c r="K23" s="91"/>
      <c r="L23" s="91"/>
      <c r="M23" s="93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</row>
    <row r="24" spans="2:39" hidden="1" x14ac:dyDescent="0.25">
      <c r="B24" s="91"/>
      <c r="E24" s="91"/>
      <c r="F24" s="91"/>
      <c r="G24" s="91"/>
      <c r="H24" s="91"/>
      <c r="I24" s="91"/>
      <c r="J24" s="91"/>
      <c r="K24" s="91"/>
      <c r="L24" s="91"/>
      <c r="M24" s="93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</row>
    <row r="25" spans="2:39" hidden="1" x14ac:dyDescent="0.25">
      <c r="B25" s="91"/>
      <c r="E25" s="91"/>
      <c r="F25" s="91"/>
      <c r="G25" s="91"/>
      <c r="H25" s="91"/>
      <c r="I25" s="91"/>
      <c r="J25" s="91"/>
      <c r="K25" s="91"/>
      <c r="L25" s="91"/>
      <c r="M25" s="93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</row>
    <row r="26" spans="2:39" hidden="1" x14ac:dyDescent="0.25">
      <c r="B26" s="91"/>
      <c r="E26" s="91"/>
      <c r="F26" s="91"/>
      <c r="G26" s="91"/>
      <c r="H26" s="91"/>
      <c r="I26" s="91"/>
      <c r="J26" s="91"/>
      <c r="K26" s="91"/>
      <c r="L26" s="91"/>
      <c r="M26" s="93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</row>
    <row r="27" spans="2:39" hidden="1" x14ac:dyDescent="0.25">
      <c r="B27" s="91"/>
      <c r="E27" s="91"/>
      <c r="F27" s="91"/>
      <c r="G27" s="91"/>
      <c r="H27" s="91"/>
      <c r="I27" s="91"/>
      <c r="J27" s="91"/>
      <c r="K27" s="91"/>
      <c r="L27" s="91"/>
      <c r="M27" s="93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</row>
    <row r="28" spans="2:39" hidden="1" x14ac:dyDescent="0.25">
      <c r="B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</row>
    <row r="29" spans="2:39" hidden="1" x14ac:dyDescent="0.25">
      <c r="B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</row>
    <row r="30" spans="2:39" hidden="1" x14ac:dyDescent="0.25">
      <c r="B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</row>
    <row r="31" spans="2:39" ht="15" hidden="1" customHeight="1" x14ac:dyDescent="0.25">
      <c r="B31" s="91"/>
      <c r="E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</row>
    <row r="32" spans="2:39" hidden="1" x14ac:dyDescent="0.25">
      <c r="B32" s="91"/>
      <c r="E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</row>
    <row r="33" spans="2:40" hidden="1" x14ac:dyDescent="0.25">
      <c r="B33" s="91"/>
      <c r="E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</row>
    <row r="34" spans="2:40" hidden="1" x14ac:dyDescent="0.25">
      <c r="B34" s="91"/>
      <c r="E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</row>
    <row r="35" spans="2:40" hidden="1" x14ac:dyDescent="0.25">
      <c r="B35" s="91"/>
      <c r="E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</row>
    <row r="36" spans="2:40" hidden="1" x14ac:dyDescent="0.25">
      <c r="B36" s="91"/>
      <c r="E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</row>
    <row r="37" spans="2:40" hidden="1" x14ac:dyDescent="0.25">
      <c r="B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</row>
    <row r="38" spans="2:40" hidden="1" x14ac:dyDescent="0.25">
      <c r="B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</row>
    <row r="39" spans="2:40" hidden="1" x14ac:dyDescent="0.25">
      <c r="B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</row>
    <row r="40" spans="2:40" hidden="1" x14ac:dyDescent="0.25">
      <c r="B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</row>
    <row r="41" spans="2:40" hidden="1" x14ac:dyDescent="0.25">
      <c r="B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</row>
    <row r="42" spans="2:40" ht="12.75" hidden="1" customHeight="1" x14ac:dyDescent="0.25">
      <c r="B42" s="91"/>
      <c r="E42" s="94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</row>
    <row r="43" spans="2:40" ht="15.75" hidden="1" thickBot="1" x14ac:dyDescent="0.3"/>
    <row r="44" spans="2:40" hidden="1" x14ac:dyDescent="0.25">
      <c r="C44" s="95" t="s">
        <v>0</v>
      </c>
      <c r="D44" s="96"/>
      <c r="H44" s="85"/>
    </row>
    <row r="45" spans="2:40" hidden="1" x14ac:dyDescent="0.25">
      <c r="C45" s="97" t="s">
        <v>1</v>
      </c>
      <c r="D45" s="98">
        <f>Comparaison!D14</f>
        <v>20000</v>
      </c>
      <c r="H45" s="85"/>
    </row>
    <row r="46" spans="2:40" hidden="1" x14ac:dyDescent="0.25">
      <c r="C46" s="97" t="s">
        <v>4</v>
      </c>
      <c r="D46" s="99">
        <f>Comparaison!D15</f>
        <v>1.2</v>
      </c>
      <c r="H46" s="85"/>
    </row>
    <row r="47" spans="2:40" hidden="1" x14ac:dyDescent="0.25">
      <c r="C47" s="97" t="s">
        <v>6</v>
      </c>
      <c r="D47" s="99">
        <f>Comparaison!D16</f>
        <v>7.0000000000000007E-2</v>
      </c>
      <c r="H47" s="85"/>
    </row>
    <row r="48" spans="2:40" ht="15.75" hidden="1" thickBot="1" x14ac:dyDescent="0.3">
      <c r="C48" s="100" t="s">
        <v>39</v>
      </c>
      <c r="D48" s="101">
        <f>Comparaison!D17</f>
        <v>0</v>
      </c>
      <c r="H48" s="85"/>
    </row>
    <row r="49" spans="3:10" ht="15.75" hidden="1" thickBot="1" x14ac:dyDescent="0.3">
      <c r="C49" s="92"/>
      <c r="D49" s="92"/>
      <c r="H49" s="85"/>
    </row>
    <row r="50" spans="3:10" hidden="1" x14ac:dyDescent="0.25">
      <c r="C50" s="102" t="s">
        <v>8</v>
      </c>
      <c r="D50" s="103"/>
      <c r="H50" s="85"/>
    </row>
    <row r="51" spans="3:10" hidden="1" x14ac:dyDescent="0.25">
      <c r="C51" s="104" t="s">
        <v>40</v>
      </c>
      <c r="D51" s="105">
        <f>Comparaison!D21</f>
        <v>48000</v>
      </c>
      <c r="E51" s="1">
        <f>Comparaison!D22</f>
        <v>0</v>
      </c>
      <c r="F51" s="1" t="str">
        <f>Comparaison!C22</f>
        <v>Valeur de l'équipement installé (si applicable)</v>
      </c>
      <c r="H51" s="85"/>
    </row>
    <row r="52" spans="3:10" hidden="1" x14ac:dyDescent="0.25">
      <c r="C52" s="106" t="s">
        <v>9</v>
      </c>
      <c r="D52" s="107">
        <f>Comparaison!D23</f>
        <v>6</v>
      </c>
      <c r="H52" s="85"/>
    </row>
    <row r="53" spans="3:10" hidden="1" x14ac:dyDescent="0.25">
      <c r="C53" s="108" t="s">
        <v>41</v>
      </c>
      <c r="D53" s="109">
        <f>Comparaison!D24</f>
        <v>0.17</v>
      </c>
      <c r="H53" s="85"/>
    </row>
    <row r="54" spans="3:10" hidden="1" x14ac:dyDescent="0.25">
      <c r="C54" s="97" t="s">
        <v>42</v>
      </c>
      <c r="D54" s="99">
        <f>Comparaison!D27</f>
        <v>4.3499999999999997E-2</v>
      </c>
      <c r="H54" s="85"/>
      <c r="I54" s="85"/>
      <c r="J54" s="85"/>
    </row>
    <row r="55" spans="3:10" ht="15.75" hidden="1" thickBot="1" x14ac:dyDescent="0.3">
      <c r="C55" s="110" t="s">
        <v>43</v>
      </c>
      <c r="D55" s="111">
        <f>Comparaison!D26</f>
        <v>17</v>
      </c>
      <c r="H55" s="85"/>
      <c r="I55" s="85"/>
      <c r="J55" s="85"/>
    </row>
    <row r="56" spans="3:10" ht="15.75" hidden="1" thickBot="1" x14ac:dyDescent="0.3">
      <c r="H56" s="85"/>
      <c r="I56" s="85"/>
      <c r="J56" s="85"/>
    </row>
    <row r="57" spans="3:10" ht="15.75" hidden="1" thickBot="1" x14ac:dyDescent="0.3">
      <c r="C57" s="112" t="s">
        <v>44</v>
      </c>
      <c r="D57" s="113"/>
      <c r="H57" s="85"/>
      <c r="I57" s="85"/>
      <c r="J57" s="85"/>
    </row>
    <row r="58" spans="3:10" hidden="1" x14ac:dyDescent="0.25">
      <c r="C58" s="114" t="s">
        <v>40</v>
      </c>
      <c r="D58" s="115">
        <f>Comparaison!P116</f>
        <v>33240</v>
      </c>
      <c r="H58" s="85"/>
      <c r="I58" s="85"/>
      <c r="J58" s="85"/>
    </row>
    <row r="59" spans="3:10" hidden="1" x14ac:dyDescent="0.25">
      <c r="C59" s="116" t="s">
        <v>45</v>
      </c>
      <c r="D59" s="117">
        <f>Comparaison!P117</f>
        <v>0.25</v>
      </c>
      <c r="H59" s="85"/>
      <c r="I59" s="85"/>
      <c r="J59" s="85"/>
    </row>
    <row r="60" spans="3:10" hidden="1" x14ac:dyDescent="0.25">
      <c r="C60" s="118" t="s">
        <v>9</v>
      </c>
      <c r="D60" s="107">
        <f>Comparaison!P118</f>
        <v>6</v>
      </c>
      <c r="H60" s="85"/>
      <c r="I60" s="85"/>
      <c r="J60" s="85"/>
    </row>
    <row r="61" spans="3:10" ht="15.75" hidden="1" thickBot="1" x14ac:dyDescent="0.3">
      <c r="C61" s="119" t="s">
        <v>41</v>
      </c>
      <c r="D61" s="120">
        <f>Comparaison!P119</f>
        <v>0.2</v>
      </c>
      <c r="H61" s="85"/>
      <c r="I61" s="85"/>
      <c r="J61" s="85"/>
    </row>
    <row r="62" spans="3:10" ht="15.75" hidden="1" thickBot="1" x14ac:dyDescent="0.3">
      <c r="C62" s="91"/>
      <c r="D62" s="91"/>
      <c r="H62" s="85"/>
      <c r="I62" s="85"/>
      <c r="J62" s="85"/>
    </row>
    <row r="63" spans="3:10" ht="15.75" hidden="1" thickBot="1" x14ac:dyDescent="0.3">
      <c r="C63" s="112" t="s">
        <v>46</v>
      </c>
      <c r="D63" s="113"/>
      <c r="H63" s="85"/>
      <c r="I63" s="85"/>
      <c r="J63" s="85"/>
    </row>
    <row r="64" spans="3:10" hidden="1" x14ac:dyDescent="0.25">
      <c r="C64" s="114" t="s">
        <v>40</v>
      </c>
      <c r="D64" s="115">
        <f>Comparaison!P122</f>
        <v>95000</v>
      </c>
      <c r="H64" s="85"/>
      <c r="I64" s="85"/>
      <c r="J64" s="85"/>
    </row>
    <row r="65" spans="2:40" hidden="1" x14ac:dyDescent="0.25">
      <c r="C65" s="118" t="s">
        <v>47</v>
      </c>
      <c r="D65" s="107">
        <f>Comparaison!P123</f>
        <v>6</v>
      </c>
      <c r="H65" s="85"/>
      <c r="I65" s="85"/>
      <c r="J65" s="85"/>
    </row>
    <row r="66" spans="2:40" hidden="1" x14ac:dyDescent="0.25">
      <c r="C66" s="108" t="s">
        <v>41</v>
      </c>
      <c r="D66" s="109">
        <f>Comparaison!P124</f>
        <v>0.2</v>
      </c>
      <c r="H66" s="85"/>
      <c r="I66" s="85"/>
      <c r="J66" s="85"/>
    </row>
    <row r="67" spans="2:40" ht="15.75" hidden="1" thickBot="1" x14ac:dyDescent="0.3">
      <c r="C67" s="121" t="s">
        <v>48</v>
      </c>
      <c r="D67" s="122">
        <f>Comparaison!P125</f>
        <v>-8000</v>
      </c>
      <c r="H67" s="85"/>
      <c r="I67" s="85"/>
      <c r="J67" s="85"/>
    </row>
    <row r="68" spans="2:40" hidden="1" x14ac:dyDescent="0.25">
      <c r="H68" s="85"/>
      <c r="I68" s="85"/>
      <c r="J68" s="85"/>
    </row>
    <row r="69" spans="2:40" ht="12.75" hidden="1" customHeight="1" x14ac:dyDescent="0.25">
      <c r="B69" s="91"/>
      <c r="E69" s="94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</row>
    <row r="70" spans="2:40" ht="12.75" hidden="1" customHeight="1" thickBot="1" x14ac:dyDescent="0.3">
      <c r="B70" s="91"/>
      <c r="E70" s="94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</row>
    <row r="71" spans="2:40" ht="15" customHeight="1" x14ac:dyDescent="0.25">
      <c r="B71" s="123"/>
      <c r="C71" s="318" t="s">
        <v>124</v>
      </c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20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</row>
    <row r="72" spans="2:40" s="129" customFormat="1" ht="15.75" thickBot="1" x14ac:dyDescent="0.3">
      <c r="B72" s="124"/>
      <c r="C72" s="125" t="s">
        <v>60</v>
      </c>
      <c r="D72" s="126">
        <v>0</v>
      </c>
      <c r="E72" s="127">
        <v>1</v>
      </c>
      <c r="F72" s="127">
        <v>2</v>
      </c>
      <c r="G72" s="127">
        <v>3</v>
      </c>
      <c r="H72" s="127">
        <v>4</v>
      </c>
      <c r="I72" s="127">
        <v>5</v>
      </c>
      <c r="J72" s="127">
        <v>6</v>
      </c>
      <c r="K72" s="127">
        <v>7</v>
      </c>
      <c r="L72" s="127">
        <v>8</v>
      </c>
      <c r="M72" s="127">
        <v>9</v>
      </c>
      <c r="N72" s="127">
        <v>10</v>
      </c>
      <c r="O72" s="127">
        <v>11</v>
      </c>
      <c r="P72" s="127">
        <v>12</v>
      </c>
      <c r="Q72" s="127">
        <v>13</v>
      </c>
      <c r="R72" s="127">
        <v>14</v>
      </c>
      <c r="S72" s="127">
        <v>15</v>
      </c>
      <c r="T72" s="127">
        <v>16</v>
      </c>
      <c r="U72" s="127">
        <v>17</v>
      </c>
      <c r="V72" s="128">
        <v>18</v>
      </c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</row>
    <row r="73" spans="2:40" ht="15" customHeight="1" x14ac:dyDescent="0.25">
      <c r="B73" s="309" t="s">
        <v>123</v>
      </c>
      <c r="C73" s="130" t="s">
        <v>129</v>
      </c>
      <c r="D73" s="131">
        <f>-(D51)-Comparaison!D22</f>
        <v>-48000</v>
      </c>
      <c r="E73" s="131">
        <f>IF(MOD(E72,$D$52)=0,-$D$51-$E$51,0)</f>
        <v>0</v>
      </c>
      <c r="F73" s="131">
        <f t="shared" ref="F73:U73" si="0">IF(MOD(F72,$D$52)=0,-$D$51-$E$51,0)</f>
        <v>0</v>
      </c>
      <c r="G73" s="131">
        <f t="shared" si="0"/>
        <v>0</v>
      </c>
      <c r="H73" s="131">
        <f t="shared" si="0"/>
        <v>0</v>
      </c>
      <c r="I73" s="131">
        <f t="shared" si="0"/>
        <v>0</v>
      </c>
      <c r="J73" s="131">
        <f t="shared" si="0"/>
        <v>-48000</v>
      </c>
      <c r="K73" s="131">
        <f t="shared" si="0"/>
        <v>0</v>
      </c>
      <c r="L73" s="131">
        <f t="shared" si="0"/>
        <v>0</v>
      </c>
      <c r="M73" s="131">
        <f t="shared" si="0"/>
        <v>0</v>
      </c>
      <c r="N73" s="131">
        <f t="shared" si="0"/>
        <v>0</v>
      </c>
      <c r="O73" s="131">
        <f t="shared" si="0"/>
        <v>0</v>
      </c>
      <c r="P73" s="131">
        <f t="shared" si="0"/>
        <v>-48000</v>
      </c>
      <c r="Q73" s="131">
        <f t="shared" si="0"/>
        <v>0</v>
      </c>
      <c r="R73" s="131">
        <f t="shared" si="0"/>
        <v>0</v>
      </c>
      <c r="S73" s="131">
        <f t="shared" si="0"/>
        <v>0</v>
      </c>
      <c r="T73" s="131">
        <f t="shared" si="0"/>
        <v>0</v>
      </c>
      <c r="U73" s="131">
        <f t="shared" si="0"/>
        <v>0</v>
      </c>
      <c r="V73" s="132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</row>
    <row r="74" spans="2:40" x14ac:dyDescent="0.25">
      <c r="B74" s="310"/>
      <c r="C74" s="133" t="s">
        <v>125</v>
      </c>
      <c r="D74" s="134">
        <f>Comparaison!D25</f>
        <v>8160.0000000000009</v>
      </c>
      <c r="E74" s="134">
        <f>IF(MOD(F72,Comparaison!$D$45)=0,IF(MOD(F72,$D$52)=0,$D$51*$D$53,0),IF(MOD(E72,$D$52)=0,$D$51*$D$53,0))</f>
        <v>0</v>
      </c>
      <c r="F74" s="134">
        <f>IF(MOD(G72,Comparaison!$D$45)=0,IF(MOD(G72,$D$52)=0,$D$51*$D$53,0),IF(MOD(F72,$D$52)=0,$D$51*$D$53,0))</f>
        <v>0</v>
      </c>
      <c r="G74" s="134">
        <f>IF(MOD(H72,Comparaison!$D$45)=0,IF(MOD(H72,$D$52)=0,$D$51*$D$53,0),IF(MOD(G72,$D$52)=0,$D$51*$D$53,0))</f>
        <v>0</v>
      </c>
      <c r="H74" s="134">
        <f>IF(MOD(I72,Comparaison!$D$45)=0,IF(MOD(I72,$D$52)=0,$D$51*$D$53,0),IF(MOD(H72,$D$52)=0,$D$51*$D$53,0))</f>
        <v>0</v>
      </c>
      <c r="I74" s="134">
        <f>IF(MOD(J72,Comparaison!$D$45)=0,IF(MOD(J72,$D$52)=0,$D$51*$D$53,0),IF(MOD(I72,$D$52)=0,$D$51*$D$53,0))</f>
        <v>0</v>
      </c>
      <c r="J74" s="134">
        <f>IF(MOD(K72,Comparaison!$D$45)=0,IF(MOD(K72,$D$52)=0,$D$51*$D$53,0),IF(MOD(J72,$D$52)=0,$D$51*$D$53,0))</f>
        <v>8160.0000000000009</v>
      </c>
      <c r="K74" s="134">
        <f>IF(MOD(L72,Comparaison!$D$45)=0,IF(MOD(L72,$D$52)=0,$D$51*$D$53,0),IF(MOD(K72,$D$52)=0,$D$51*$D$53,0))</f>
        <v>0</v>
      </c>
      <c r="L74" s="134">
        <f>IF(MOD(M72,Comparaison!$D$45)=0,IF(MOD(M72,$D$52)=0,$D$51*$D$53,0),IF(MOD(L72,$D$52)=0,$D$51*$D$53,0))</f>
        <v>0</v>
      </c>
      <c r="M74" s="134">
        <f>IF(MOD(N72,Comparaison!$D$45)=0,IF(MOD(N72,$D$52)=0,$D$51*$D$53,0),IF(MOD(M72,$D$52)=0,$D$51*$D$53,0))</f>
        <v>0</v>
      </c>
      <c r="N74" s="134">
        <f>IF(MOD(O72,Comparaison!$D$45)=0,IF(MOD(O72,$D$52)=0,$D$51*$D$53,0),IF(MOD(N72,$D$52)=0,$D$51*$D$53,0))</f>
        <v>0</v>
      </c>
      <c r="O74" s="134">
        <f>IF(MOD(P72,Comparaison!$D$45)=0,IF(MOD(P72,$D$52)=0,$D$51*$D$53,0),IF(MOD(O72,$D$52)=0,$D$51*$D$53,0))</f>
        <v>8160.0000000000009</v>
      </c>
      <c r="P74" s="134">
        <f>IF(MOD(Q72,Comparaison!$D$45)=0,IF(MOD(Q72,$D$52)=0,$D$51*$D$53,0),IF(MOD(P72,$D$52)=0,$D$51*$D$53,0))</f>
        <v>8160.0000000000009</v>
      </c>
      <c r="Q74" s="134">
        <f>IF(MOD(R72,Comparaison!$D$45)=0,IF(MOD(R72,$D$52)=0,$D$51*$D$53,0),IF(MOD(Q72,$D$52)=0,$D$51*$D$53,0))</f>
        <v>0</v>
      </c>
      <c r="R74" s="134">
        <f>IF(MOD(S72,Comparaison!$D$45)=0,IF(MOD(S72,$D$52)=0,$D$51*$D$53,0),IF(MOD(R72,$D$52)=0,$D$51*$D$53,0))</f>
        <v>0</v>
      </c>
      <c r="S74" s="134">
        <f>IF(MOD(T72,Comparaison!$D$45)=0,IF(MOD(T72,$D$52)=0,$D$51*$D$53,0),IF(MOD(S72,$D$52)=0,$D$51*$D$53,0))</f>
        <v>0</v>
      </c>
      <c r="T74" s="134">
        <f>IF(MOD(U72,Comparaison!$D$45)=0,IF(MOD(U72,$D$52)=0,$D$51*$D$53,0),IF(MOD(T72,$D$52)=0,$D$51*$D$53,0))</f>
        <v>0</v>
      </c>
      <c r="U74" s="134">
        <f>IF(MOD(V72,Comparaison!$D$45)=0,IF(MOD(V72,$D$52)=0,$D$51*$D$53,0),IF(MOD(U72,$D$52)=0,$D$51*$D$53,0))</f>
        <v>0</v>
      </c>
      <c r="V74" s="135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</row>
    <row r="75" spans="2:40" x14ac:dyDescent="0.25">
      <c r="B75" s="310"/>
      <c r="C75" s="133" t="s">
        <v>123</v>
      </c>
      <c r="D75" s="134"/>
      <c r="E75" s="134">
        <f t="shared" ref="E75:U75" si="1">-($D$45/100*$D$55*$D$46)</f>
        <v>-4080</v>
      </c>
      <c r="F75" s="134">
        <f t="shared" si="1"/>
        <v>-4080</v>
      </c>
      <c r="G75" s="134">
        <f t="shared" si="1"/>
        <v>-4080</v>
      </c>
      <c r="H75" s="134">
        <f t="shared" si="1"/>
        <v>-4080</v>
      </c>
      <c r="I75" s="134">
        <f t="shared" si="1"/>
        <v>-4080</v>
      </c>
      <c r="J75" s="134">
        <f t="shared" si="1"/>
        <v>-4080</v>
      </c>
      <c r="K75" s="134">
        <f t="shared" si="1"/>
        <v>-4080</v>
      </c>
      <c r="L75" s="134">
        <f t="shared" si="1"/>
        <v>-4080</v>
      </c>
      <c r="M75" s="134">
        <f t="shared" si="1"/>
        <v>-4080</v>
      </c>
      <c r="N75" s="134">
        <f t="shared" si="1"/>
        <v>-4080</v>
      </c>
      <c r="O75" s="134">
        <f t="shared" si="1"/>
        <v>-4080</v>
      </c>
      <c r="P75" s="134">
        <f t="shared" si="1"/>
        <v>-4080</v>
      </c>
      <c r="Q75" s="134">
        <f t="shared" si="1"/>
        <v>-4080</v>
      </c>
      <c r="R75" s="134">
        <f t="shared" si="1"/>
        <v>-4080</v>
      </c>
      <c r="S75" s="134">
        <f t="shared" si="1"/>
        <v>-4080</v>
      </c>
      <c r="T75" s="134">
        <f t="shared" si="1"/>
        <v>-4080</v>
      </c>
      <c r="U75" s="134">
        <f t="shared" si="1"/>
        <v>-4080</v>
      </c>
      <c r="V75" s="136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</row>
    <row r="76" spans="2:40" ht="15.75" thickBot="1" x14ac:dyDescent="0.3">
      <c r="B76" s="310"/>
      <c r="C76" s="133" t="s">
        <v>126</v>
      </c>
      <c r="D76" s="134"/>
      <c r="E76" s="134">
        <f t="shared" ref="E76:U76" si="2">-$D$54*$D$45</f>
        <v>-869.99999999999989</v>
      </c>
      <c r="F76" s="134">
        <f t="shared" si="2"/>
        <v>-869.99999999999989</v>
      </c>
      <c r="G76" s="134">
        <f t="shared" si="2"/>
        <v>-869.99999999999989</v>
      </c>
      <c r="H76" s="134">
        <f t="shared" si="2"/>
        <v>-869.99999999999989</v>
      </c>
      <c r="I76" s="134">
        <f t="shared" si="2"/>
        <v>-869.99999999999989</v>
      </c>
      <c r="J76" s="134">
        <f t="shared" si="2"/>
        <v>-869.99999999999989</v>
      </c>
      <c r="K76" s="134">
        <f t="shared" si="2"/>
        <v>-869.99999999999989</v>
      </c>
      <c r="L76" s="134">
        <f t="shared" si="2"/>
        <v>-869.99999999999989</v>
      </c>
      <c r="M76" s="134">
        <f t="shared" si="2"/>
        <v>-869.99999999999989</v>
      </c>
      <c r="N76" s="134">
        <f t="shared" si="2"/>
        <v>-869.99999999999989</v>
      </c>
      <c r="O76" s="134">
        <f t="shared" si="2"/>
        <v>-869.99999999999989</v>
      </c>
      <c r="P76" s="134">
        <f t="shared" si="2"/>
        <v>-869.99999999999989</v>
      </c>
      <c r="Q76" s="134">
        <f t="shared" si="2"/>
        <v>-869.99999999999989</v>
      </c>
      <c r="R76" s="134">
        <f t="shared" si="2"/>
        <v>-869.99999999999989</v>
      </c>
      <c r="S76" s="134">
        <f t="shared" si="2"/>
        <v>-869.99999999999989</v>
      </c>
      <c r="T76" s="134">
        <f t="shared" si="2"/>
        <v>-869.99999999999989</v>
      </c>
      <c r="U76" s="134">
        <f t="shared" si="2"/>
        <v>-869.99999999999989</v>
      </c>
      <c r="V76" s="136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</row>
    <row r="77" spans="2:40" ht="15.75" thickTop="1" x14ac:dyDescent="0.25">
      <c r="B77" s="310"/>
      <c r="C77" s="137" t="s">
        <v>54</v>
      </c>
      <c r="D77" s="138">
        <f>IF(D72&lt;=Comparaison!$D$45, SUM(D73:D76),)</f>
        <v>-39840</v>
      </c>
      <c r="E77" s="138">
        <f>IF(E72&lt;Comparaison!$D$45, SUM(E73:E76),)</f>
        <v>-4950</v>
      </c>
      <c r="F77" s="138">
        <f>IF(F72&lt;Comparaison!$D$45, SUM(F73:F76),)</f>
        <v>-4950</v>
      </c>
      <c r="G77" s="138">
        <f>IF(G72&lt;Comparaison!$D$45, SUM(G73:G76),)</f>
        <v>-4950</v>
      </c>
      <c r="H77" s="138">
        <f>IF(H72&lt;Comparaison!$D$45, SUM(H73:H76),)</f>
        <v>-4950</v>
      </c>
      <c r="I77" s="138">
        <f>IF(I72&lt;Comparaison!$D$45, SUM(I73:I76),)</f>
        <v>-4950</v>
      </c>
      <c r="J77" s="138">
        <f>IF(J72&lt;Comparaison!$D$45, SUM(J73:J76),)</f>
        <v>-44790</v>
      </c>
      <c r="K77" s="138">
        <f>IF(K72&lt;Comparaison!$D$45, SUM(K73:K76),)</f>
        <v>-4950</v>
      </c>
      <c r="L77" s="138">
        <f>IF(L72&lt;Comparaison!$D$45, SUM(L73:L76),)</f>
        <v>-4950</v>
      </c>
      <c r="M77" s="138">
        <f>IF(M72&lt;Comparaison!$D$45, SUM(M73:M76),)</f>
        <v>-4950</v>
      </c>
      <c r="N77" s="138">
        <f>IF(N72&lt;Comparaison!$D$45, SUM(N73:N76),)</f>
        <v>-4950</v>
      </c>
      <c r="O77" s="138">
        <f>IF(O72&lt;Comparaison!$D$45, SUM(O73:O76),)</f>
        <v>3210.0000000000009</v>
      </c>
      <c r="P77" s="138">
        <f>IF(P72&lt;Comparaison!$D$45, SUM(P73:P76),)</f>
        <v>0</v>
      </c>
      <c r="Q77" s="138">
        <f>IF(Q72&lt;Comparaison!$D$45, SUM(Q73:Q76),)</f>
        <v>0</v>
      </c>
      <c r="R77" s="138">
        <f>IF(R72&lt;Comparaison!$D$45, SUM(R73:R76),)</f>
        <v>0</v>
      </c>
      <c r="S77" s="138">
        <f>IF(S72&lt;Comparaison!$D$45, SUM(S73:S76),)</f>
        <v>0</v>
      </c>
      <c r="T77" s="138">
        <f>IF(T72&lt;Comparaison!$D$45, SUM(T73:T76),)</f>
        <v>0</v>
      </c>
      <c r="U77" s="138">
        <f>IF(U72&lt;Comparaison!$D$45, SUM(U73:U76),)</f>
        <v>0</v>
      </c>
      <c r="V77" s="139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</row>
    <row r="78" spans="2:40" x14ac:dyDescent="0.25">
      <c r="B78" s="310"/>
      <c r="C78" s="140" t="s">
        <v>132</v>
      </c>
      <c r="D78" s="141">
        <f>D77+NPV(Comparaison!D17,E77:V77)</f>
        <v>-125970</v>
      </c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</row>
    <row r="79" spans="2:40" ht="15.75" thickBot="1" x14ac:dyDescent="0.3">
      <c r="B79" s="311"/>
      <c r="C79" s="144" t="s">
        <v>133</v>
      </c>
      <c r="D79" s="145">
        <f>PMT(Comparaison!D17,Comparaison!D45,D78,0)</f>
        <v>10497.5</v>
      </c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7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</row>
    <row r="80" spans="2:40" ht="15" hidden="1" customHeight="1" x14ac:dyDescent="0.25">
      <c r="B80" s="309" t="s">
        <v>57</v>
      </c>
      <c r="C80" s="130" t="s">
        <v>50</v>
      </c>
      <c r="D80" s="131">
        <f>-(D58)</f>
        <v>-33240</v>
      </c>
      <c r="E80" s="131">
        <f t="shared" ref="E80:U80" si="3">IF(MOD(E72,$D$60)=0,-$D$58,0)</f>
        <v>0</v>
      </c>
      <c r="F80" s="131">
        <f t="shared" si="3"/>
        <v>0</v>
      </c>
      <c r="G80" s="131">
        <f t="shared" si="3"/>
        <v>0</v>
      </c>
      <c r="H80" s="131">
        <f t="shared" si="3"/>
        <v>0</v>
      </c>
      <c r="I80" s="131">
        <f t="shared" si="3"/>
        <v>0</v>
      </c>
      <c r="J80" s="131">
        <f t="shared" si="3"/>
        <v>-33240</v>
      </c>
      <c r="K80" s="131">
        <f t="shared" si="3"/>
        <v>0</v>
      </c>
      <c r="L80" s="131">
        <f t="shared" si="3"/>
        <v>0</v>
      </c>
      <c r="M80" s="131">
        <f t="shared" si="3"/>
        <v>0</v>
      </c>
      <c r="N80" s="131">
        <f t="shared" si="3"/>
        <v>0</v>
      </c>
      <c r="O80" s="131">
        <f t="shared" si="3"/>
        <v>0</v>
      </c>
      <c r="P80" s="131">
        <f t="shared" si="3"/>
        <v>-33240</v>
      </c>
      <c r="Q80" s="131">
        <f t="shared" si="3"/>
        <v>0</v>
      </c>
      <c r="R80" s="131">
        <f t="shared" si="3"/>
        <v>0</v>
      </c>
      <c r="S80" s="131">
        <f t="shared" si="3"/>
        <v>0</v>
      </c>
      <c r="T80" s="131">
        <f t="shared" si="3"/>
        <v>0</v>
      </c>
      <c r="U80" s="131">
        <f t="shared" si="3"/>
        <v>0</v>
      </c>
      <c r="V80" s="132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</row>
    <row r="81" spans="2:40" hidden="1" x14ac:dyDescent="0.25">
      <c r="B81" s="310"/>
      <c r="C81" s="133" t="s">
        <v>51</v>
      </c>
      <c r="D81" s="134"/>
      <c r="E81" s="134">
        <f t="shared" ref="E81:U81" si="4">IF(MOD(E72,$D$60)=0,$D$58*$D$61,0)</f>
        <v>0</v>
      </c>
      <c r="F81" s="134">
        <f t="shared" si="4"/>
        <v>0</v>
      </c>
      <c r="G81" s="134">
        <f t="shared" si="4"/>
        <v>0</v>
      </c>
      <c r="H81" s="134">
        <f t="shared" si="4"/>
        <v>0</v>
      </c>
      <c r="I81" s="134">
        <f t="shared" si="4"/>
        <v>0</v>
      </c>
      <c r="J81" s="134">
        <f t="shared" si="4"/>
        <v>6648</v>
      </c>
      <c r="K81" s="134">
        <f t="shared" si="4"/>
        <v>0</v>
      </c>
      <c r="L81" s="134">
        <f t="shared" si="4"/>
        <v>0</v>
      </c>
      <c r="M81" s="134">
        <f t="shared" si="4"/>
        <v>0</v>
      </c>
      <c r="N81" s="134">
        <f t="shared" si="4"/>
        <v>0</v>
      </c>
      <c r="O81" s="134">
        <f t="shared" si="4"/>
        <v>0</v>
      </c>
      <c r="P81" s="134">
        <f t="shared" si="4"/>
        <v>6648</v>
      </c>
      <c r="Q81" s="134">
        <f t="shared" si="4"/>
        <v>0</v>
      </c>
      <c r="R81" s="134">
        <f t="shared" si="4"/>
        <v>0</v>
      </c>
      <c r="S81" s="134">
        <f t="shared" si="4"/>
        <v>0</v>
      </c>
      <c r="T81" s="134">
        <f t="shared" si="4"/>
        <v>0</v>
      </c>
      <c r="U81" s="134">
        <f t="shared" si="4"/>
        <v>0</v>
      </c>
      <c r="V81" s="136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</row>
    <row r="82" spans="2:40" hidden="1" x14ac:dyDescent="0.25">
      <c r="B82" s="310"/>
      <c r="C82" s="133" t="s">
        <v>52</v>
      </c>
      <c r="D82" s="134"/>
      <c r="E82" s="134">
        <f t="shared" ref="E82:U82" si="5">-($D$45/100*($D$55*(1-$D$59))*$D$46)</f>
        <v>-3060</v>
      </c>
      <c r="F82" s="134">
        <f t="shared" si="5"/>
        <v>-3060</v>
      </c>
      <c r="G82" s="134">
        <f t="shared" si="5"/>
        <v>-3060</v>
      </c>
      <c r="H82" s="134">
        <f t="shared" si="5"/>
        <v>-3060</v>
      </c>
      <c r="I82" s="134">
        <f t="shared" si="5"/>
        <v>-3060</v>
      </c>
      <c r="J82" s="134">
        <f t="shared" si="5"/>
        <v>-3060</v>
      </c>
      <c r="K82" s="134">
        <f t="shared" si="5"/>
        <v>-3060</v>
      </c>
      <c r="L82" s="134">
        <f t="shared" si="5"/>
        <v>-3060</v>
      </c>
      <c r="M82" s="134">
        <f t="shared" si="5"/>
        <v>-3060</v>
      </c>
      <c r="N82" s="134">
        <f t="shared" si="5"/>
        <v>-3060</v>
      </c>
      <c r="O82" s="134">
        <f t="shared" si="5"/>
        <v>-3060</v>
      </c>
      <c r="P82" s="134">
        <f t="shared" si="5"/>
        <v>-3060</v>
      </c>
      <c r="Q82" s="134">
        <f t="shared" si="5"/>
        <v>-3060</v>
      </c>
      <c r="R82" s="134">
        <f t="shared" si="5"/>
        <v>-3060</v>
      </c>
      <c r="S82" s="134">
        <f t="shared" si="5"/>
        <v>-3060</v>
      </c>
      <c r="T82" s="134">
        <f t="shared" si="5"/>
        <v>-3060</v>
      </c>
      <c r="U82" s="134">
        <f t="shared" si="5"/>
        <v>-3060</v>
      </c>
      <c r="V82" s="136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</row>
    <row r="83" spans="2:40" hidden="1" x14ac:dyDescent="0.25">
      <c r="B83" s="310"/>
      <c r="C83" s="133" t="s">
        <v>53</v>
      </c>
      <c r="D83" s="134"/>
      <c r="E83" s="134">
        <f t="shared" ref="E83:U83" si="6">-$D$54/100*$D$45</f>
        <v>-8.6999999999999993</v>
      </c>
      <c r="F83" s="134">
        <f t="shared" si="6"/>
        <v>-8.6999999999999993</v>
      </c>
      <c r="G83" s="134">
        <f t="shared" si="6"/>
        <v>-8.6999999999999993</v>
      </c>
      <c r="H83" s="134">
        <f t="shared" si="6"/>
        <v>-8.6999999999999993</v>
      </c>
      <c r="I83" s="134">
        <f t="shared" si="6"/>
        <v>-8.6999999999999993</v>
      </c>
      <c r="J83" s="134">
        <f t="shared" si="6"/>
        <v>-8.6999999999999993</v>
      </c>
      <c r="K83" s="134">
        <f t="shared" si="6"/>
        <v>-8.6999999999999993</v>
      </c>
      <c r="L83" s="134">
        <f t="shared" si="6"/>
        <v>-8.6999999999999993</v>
      </c>
      <c r="M83" s="134">
        <f t="shared" si="6"/>
        <v>-8.6999999999999993</v>
      </c>
      <c r="N83" s="134">
        <f t="shared" si="6"/>
        <v>-8.6999999999999993</v>
      </c>
      <c r="O83" s="134">
        <f t="shared" si="6"/>
        <v>-8.6999999999999993</v>
      </c>
      <c r="P83" s="134">
        <f t="shared" si="6"/>
        <v>-8.6999999999999993</v>
      </c>
      <c r="Q83" s="134">
        <f t="shared" si="6"/>
        <v>-8.6999999999999993</v>
      </c>
      <c r="R83" s="134">
        <f t="shared" si="6"/>
        <v>-8.6999999999999993</v>
      </c>
      <c r="S83" s="134">
        <f t="shared" si="6"/>
        <v>-8.6999999999999993</v>
      </c>
      <c r="T83" s="134">
        <f t="shared" si="6"/>
        <v>-8.6999999999999993</v>
      </c>
      <c r="U83" s="134">
        <f t="shared" si="6"/>
        <v>-8.6999999999999993</v>
      </c>
      <c r="V83" s="136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</row>
    <row r="84" spans="2:40" ht="15.75" hidden="1" thickTop="1" x14ac:dyDescent="0.25">
      <c r="B84" s="310"/>
      <c r="C84" s="137" t="s">
        <v>54</v>
      </c>
      <c r="D84" s="138">
        <f>IF(D72&lt;=Comparaison!$D$45, SUM(D80:D83),)</f>
        <v>-33240</v>
      </c>
      <c r="E84" s="138">
        <f>IF(E72&lt;Comparaison!$D$45, SUM(E80:E83),)</f>
        <v>-3068.7</v>
      </c>
      <c r="F84" s="138">
        <f>IF(F72&lt;Comparaison!$D$45, SUM(F80:F83),)</f>
        <v>-3068.7</v>
      </c>
      <c r="G84" s="138">
        <f>IF(G72&lt;Comparaison!$D$45, SUM(G80:G83),)</f>
        <v>-3068.7</v>
      </c>
      <c r="H84" s="138">
        <f>IF(H72&lt;Comparaison!$D$45, SUM(H80:H83),)</f>
        <v>-3068.7</v>
      </c>
      <c r="I84" s="138">
        <f>IF(I72&lt;Comparaison!$D$45, SUM(I80:I83),)</f>
        <v>-3068.7</v>
      </c>
      <c r="J84" s="138">
        <f>IF(J72&lt;Comparaison!$D$45, SUM(J80:J83),)</f>
        <v>-29660.7</v>
      </c>
      <c r="K84" s="138">
        <f>IF(K72&lt;Comparaison!$D$45, SUM(K80:K83),)</f>
        <v>-3068.7</v>
      </c>
      <c r="L84" s="138">
        <f>IF(L72&lt;Comparaison!$D$45, SUM(L80:L83),)</f>
        <v>-3068.7</v>
      </c>
      <c r="M84" s="138">
        <f>IF(M72&lt;Comparaison!$D$45, SUM(M80:M83),)</f>
        <v>-3068.7</v>
      </c>
      <c r="N84" s="138">
        <f>IF(N72&lt;Comparaison!$D$45, SUM(N80:N83),)</f>
        <v>-3068.7</v>
      </c>
      <c r="O84" s="138">
        <f>IF(O72&lt;Comparaison!$D$45, SUM(O80:O83),)</f>
        <v>-3068.7</v>
      </c>
      <c r="P84" s="138">
        <f>IF(P72&lt;Comparaison!$D$45, SUM(P80:P83),)</f>
        <v>0</v>
      </c>
      <c r="Q84" s="138">
        <f>IF(Q72&lt;Comparaison!$D$45, SUM(Q80:Q83),)</f>
        <v>0</v>
      </c>
      <c r="R84" s="138">
        <f>IF(R72&lt;Comparaison!$D$45, SUM(R80:R83),)</f>
        <v>0</v>
      </c>
      <c r="S84" s="138">
        <f>IF(S72&lt;Comparaison!$D$45, SUM(S80:S83),)</f>
        <v>0</v>
      </c>
      <c r="T84" s="138">
        <f>IF(T72&lt;Comparaison!$D$45, SUM(T80:T83),)</f>
        <v>0</v>
      </c>
      <c r="U84" s="138">
        <f>IF(U72&lt;Comparaison!$D$45, SUM(U80:U83),)</f>
        <v>0</v>
      </c>
      <c r="V84" s="139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</row>
    <row r="85" spans="2:40" hidden="1" x14ac:dyDescent="0.25">
      <c r="B85" s="310"/>
      <c r="C85" s="140" t="s">
        <v>55</v>
      </c>
      <c r="D85" s="141">
        <f>D84+NPV(Comparaison!D17,E84:V84)</f>
        <v>-93587.699999999983</v>
      </c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</row>
    <row r="86" spans="2:40" ht="15.75" hidden="1" thickBot="1" x14ac:dyDescent="0.3">
      <c r="B86" s="311"/>
      <c r="C86" s="144" t="s">
        <v>56</v>
      </c>
      <c r="D86" s="145">
        <f>PMT(Comparaison!D17,Comparaison!D45,D85,0)</f>
        <v>7798.9749999999985</v>
      </c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7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</row>
    <row r="87" spans="2:40" ht="15" hidden="1" customHeight="1" x14ac:dyDescent="0.25">
      <c r="B87" s="309" t="s">
        <v>37</v>
      </c>
      <c r="C87" s="130" t="s">
        <v>50</v>
      </c>
      <c r="D87" s="131">
        <f>-(D64)</f>
        <v>-95000</v>
      </c>
      <c r="E87" s="131">
        <f t="shared" ref="E87:U87" si="7">IF(MOD(E72,$D$65)=0,-$D$64,0)</f>
        <v>0</v>
      </c>
      <c r="F87" s="131">
        <f t="shared" si="7"/>
        <v>0</v>
      </c>
      <c r="G87" s="131">
        <f t="shared" si="7"/>
        <v>0</v>
      </c>
      <c r="H87" s="131">
        <f t="shared" si="7"/>
        <v>0</v>
      </c>
      <c r="I87" s="131">
        <f t="shared" si="7"/>
        <v>0</v>
      </c>
      <c r="J87" s="131">
        <f t="shared" si="7"/>
        <v>-95000</v>
      </c>
      <c r="K87" s="131">
        <f t="shared" si="7"/>
        <v>0</v>
      </c>
      <c r="L87" s="131">
        <f t="shared" si="7"/>
        <v>0</v>
      </c>
      <c r="M87" s="131">
        <f t="shared" si="7"/>
        <v>0</v>
      </c>
      <c r="N87" s="131">
        <f t="shared" si="7"/>
        <v>0</v>
      </c>
      <c r="O87" s="131">
        <f t="shared" si="7"/>
        <v>0</v>
      </c>
      <c r="P87" s="131">
        <f t="shared" si="7"/>
        <v>-95000</v>
      </c>
      <c r="Q87" s="131">
        <f t="shared" si="7"/>
        <v>0</v>
      </c>
      <c r="R87" s="131">
        <f t="shared" si="7"/>
        <v>0</v>
      </c>
      <c r="S87" s="131">
        <f t="shared" si="7"/>
        <v>0</v>
      </c>
      <c r="T87" s="131">
        <f t="shared" si="7"/>
        <v>0</v>
      </c>
      <c r="U87" s="131">
        <f t="shared" si="7"/>
        <v>0</v>
      </c>
      <c r="V87" s="132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</row>
    <row r="88" spans="2:40" hidden="1" x14ac:dyDescent="0.25">
      <c r="B88" s="310"/>
      <c r="C88" s="133" t="s">
        <v>51</v>
      </c>
      <c r="D88" s="134"/>
      <c r="E88" s="134">
        <f t="shared" ref="E88:U88" si="8">IF(MOD(E72,$D$65)=0,$D$64*$D$66,0)</f>
        <v>0</v>
      </c>
      <c r="F88" s="134">
        <f t="shared" si="8"/>
        <v>0</v>
      </c>
      <c r="G88" s="134">
        <f t="shared" si="8"/>
        <v>0</v>
      </c>
      <c r="H88" s="134">
        <f t="shared" si="8"/>
        <v>0</v>
      </c>
      <c r="I88" s="134">
        <f t="shared" si="8"/>
        <v>0</v>
      </c>
      <c r="J88" s="134">
        <f t="shared" si="8"/>
        <v>19000</v>
      </c>
      <c r="K88" s="134">
        <f t="shared" si="8"/>
        <v>0</v>
      </c>
      <c r="L88" s="134">
        <f t="shared" si="8"/>
        <v>0</v>
      </c>
      <c r="M88" s="134">
        <f t="shared" si="8"/>
        <v>0</v>
      </c>
      <c r="N88" s="134">
        <f t="shared" si="8"/>
        <v>0</v>
      </c>
      <c r="O88" s="134">
        <f t="shared" si="8"/>
        <v>0</v>
      </c>
      <c r="P88" s="134">
        <f t="shared" si="8"/>
        <v>19000</v>
      </c>
      <c r="Q88" s="134">
        <f t="shared" si="8"/>
        <v>0</v>
      </c>
      <c r="R88" s="134">
        <f t="shared" si="8"/>
        <v>0</v>
      </c>
      <c r="S88" s="134">
        <f t="shared" si="8"/>
        <v>0</v>
      </c>
      <c r="T88" s="134">
        <f t="shared" si="8"/>
        <v>0</v>
      </c>
      <c r="U88" s="134">
        <f t="shared" si="8"/>
        <v>0</v>
      </c>
      <c r="V88" s="136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</row>
    <row r="89" spans="2:40" hidden="1" x14ac:dyDescent="0.25">
      <c r="B89" s="310"/>
      <c r="C89" s="133" t="s">
        <v>52</v>
      </c>
      <c r="D89" s="134"/>
      <c r="E89" s="134">
        <f t="shared" ref="E89:U89" si="9">IF($D$45&gt;24*100/$D$135*230,-($D$45-(24*100/$D$135*230))*($D$55*0.7)/100*$D$46,0)</f>
        <v>-40.800000000000068</v>
      </c>
      <c r="F89" s="134">
        <f t="shared" si="9"/>
        <v>-40.800000000000068</v>
      </c>
      <c r="G89" s="134">
        <f t="shared" si="9"/>
        <v>-40.800000000000068</v>
      </c>
      <c r="H89" s="134">
        <f t="shared" si="9"/>
        <v>-40.800000000000068</v>
      </c>
      <c r="I89" s="134">
        <f t="shared" si="9"/>
        <v>-40.800000000000068</v>
      </c>
      <c r="J89" s="134">
        <f t="shared" si="9"/>
        <v>-40.800000000000068</v>
      </c>
      <c r="K89" s="134">
        <f t="shared" si="9"/>
        <v>-40.800000000000068</v>
      </c>
      <c r="L89" s="134">
        <f t="shared" si="9"/>
        <v>-40.800000000000068</v>
      </c>
      <c r="M89" s="134">
        <f t="shared" si="9"/>
        <v>-40.800000000000068</v>
      </c>
      <c r="N89" s="134">
        <f t="shared" si="9"/>
        <v>-40.800000000000068</v>
      </c>
      <c r="O89" s="134">
        <f t="shared" si="9"/>
        <v>-40.800000000000068</v>
      </c>
      <c r="P89" s="134">
        <f t="shared" si="9"/>
        <v>-40.800000000000068</v>
      </c>
      <c r="Q89" s="134">
        <f t="shared" si="9"/>
        <v>-40.800000000000068</v>
      </c>
      <c r="R89" s="134">
        <f t="shared" si="9"/>
        <v>-40.800000000000068</v>
      </c>
      <c r="S89" s="134">
        <f t="shared" si="9"/>
        <v>-40.800000000000068</v>
      </c>
      <c r="T89" s="134">
        <f t="shared" si="9"/>
        <v>-40.800000000000068</v>
      </c>
      <c r="U89" s="134">
        <f t="shared" si="9"/>
        <v>-40.800000000000068</v>
      </c>
      <c r="V89" s="134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</row>
    <row r="90" spans="2:40" hidden="1" x14ac:dyDescent="0.25">
      <c r="B90" s="310"/>
      <c r="C90" s="133" t="s">
        <v>58</v>
      </c>
      <c r="D90" s="134"/>
      <c r="E90" s="134">
        <f t="shared" ref="E90:U90" si="10">IF($D$45&gt;24*100/$D$135*230,-24*100/$D$135*$D$135/100*$D$47*230,$D$45*$D$135/100*$D$47)</f>
        <v>-386.40000000000003</v>
      </c>
      <c r="F90" s="134">
        <f t="shared" si="10"/>
        <v>-386.40000000000003</v>
      </c>
      <c r="G90" s="134">
        <f t="shared" si="10"/>
        <v>-386.40000000000003</v>
      </c>
      <c r="H90" s="134">
        <f t="shared" si="10"/>
        <v>-386.40000000000003</v>
      </c>
      <c r="I90" s="134">
        <f t="shared" si="10"/>
        <v>-386.40000000000003</v>
      </c>
      <c r="J90" s="134">
        <f t="shared" si="10"/>
        <v>-386.40000000000003</v>
      </c>
      <c r="K90" s="134">
        <f t="shared" si="10"/>
        <v>-386.40000000000003</v>
      </c>
      <c r="L90" s="134">
        <f t="shared" si="10"/>
        <v>-386.40000000000003</v>
      </c>
      <c r="M90" s="134">
        <f t="shared" si="10"/>
        <v>-386.40000000000003</v>
      </c>
      <c r="N90" s="134">
        <f t="shared" si="10"/>
        <v>-386.40000000000003</v>
      </c>
      <c r="O90" s="134">
        <f t="shared" si="10"/>
        <v>-386.40000000000003</v>
      </c>
      <c r="P90" s="134">
        <f t="shared" si="10"/>
        <v>-386.40000000000003</v>
      </c>
      <c r="Q90" s="134">
        <f t="shared" si="10"/>
        <v>-386.40000000000003</v>
      </c>
      <c r="R90" s="134">
        <f t="shared" si="10"/>
        <v>-386.40000000000003</v>
      </c>
      <c r="S90" s="134">
        <f t="shared" si="10"/>
        <v>-386.40000000000003</v>
      </c>
      <c r="T90" s="134">
        <f t="shared" si="10"/>
        <v>-386.40000000000003</v>
      </c>
      <c r="U90" s="134">
        <f t="shared" si="10"/>
        <v>-386.40000000000003</v>
      </c>
      <c r="V90" s="134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</row>
    <row r="91" spans="2:40" hidden="1" x14ac:dyDescent="0.25">
      <c r="B91" s="310"/>
      <c r="C91" s="133" t="s">
        <v>53</v>
      </c>
      <c r="D91" s="134"/>
      <c r="E91" s="134">
        <f t="shared" ref="E91:U91" si="11">-$D$54/100*$D$45</f>
        <v>-8.6999999999999993</v>
      </c>
      <c r="F91" s="134">
        <f t="shared" si="11"/>
        <v>-8.6999999999999993</v>
      </c>
      <c r="G91" s="134">
        <f t="shared" si="11"/>
        <v>-8.6999999999999993</v>
      </c>
      <c r="H91" s="134">
        <f t="shared" si="11"/>
        <v>-8.6999999999999993</v>
      </c>
      <c r="I91" s="134">
        <f t="shared" si="11"/>
        <v>-8.6999999999999993</v>
      </c>
      <c r="J91" s="134">
        <f t="shared" si="11"/>
        <v>-8.6999999999999993</v>
      </c>
      <c r="K91" s="134">
        <f t="shared" si="11"/>
        <v>-8.6999999999999993</v>
      </c>
      <c r="L91" s="134">
        <f t="shared" si="11"/>
        <v>-8.6999999999999993</v>
      </c>
      <c r="M91" s="134">
        <f t="shared" si="11"/>
        <v>-8.6999999999999993</v>
      </c>
      <c r="N91" s="134">
        <f t="shared" si="11"/>
        <v>-8.6999999999999993</v>
      </c>
      <c r="O91" s="134">
        <f t="shared" si="11"/>
        <v>-8.6999999999999993</v>
      </c>
      <c r="P91" s="134">
        <f t="shared" si="11"/>
        <v>-8.6999999999999993</v>
      </c>
      <c r="Q91" s="134">
        <f t="shared" si="11"/>
        <v>-8.6999999999999993</v>
      </c>
      <c r="R91" s="134">
        <f t="shared" si="11"/>
        <v>-8.6999999999999993</v>
      </c>
      <c r="S91" s="134">
        <f t="shared" si="11"/>
        <v>-8.6999999999999993</v>
      </c>
      <c r="T91" s="134">
        <f t="shared" si="11"/>
        <v>-8.6999999999999993</v>
      </c>
      <c r="U91" s="134">
        <f t="shared" si="11"/>
        <v>-8.6999999999999993</v>
      </c>
      <c r="V91" s="136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</row>
    <row r="92" spans="2:40" hidden="1" x14ac:dyDescent="0.25">
      <c r="B92" s="310"/>
      <c r="C92" s="133" t="s">
        <v>48</v>
      </c>
      <c r="D92" s="134">
        <v>8000</v>
      </c>
      <c r="E92" s="134">
        <v>0</v>
      </c>
      <c r="F92" s="134">
        <v>0</v>
      </c>
      <c r="G92" s="134">
        <v>0</v>
      </c>
      <c r="H92" s="134">
        <v>0</v>
      </c>
      <c r="I92" s="134">
        <v>0</v>
      </c>
      <c r="J92" s="134">
        <v>0</v>
      </c>
      <c r="K92" s="134">
        <v>0</v>
      </c>
      <c r="L92" s="134">
        <v>0</v>
      </c>
      <c r="M92" s="134">
        <v>0</v>
      </c>
      <c r="N92" s="134">
        <v>0</v>
      </c>
      <c r="O92" s="134">
        <v>0</v>
      </c>
      <c r="P92" s="134">
        <v>0</v>
      </c>
      <c r="Q92" s="134">
        <v>0</v>
      </c>
      <c r="R92" s="134">
        <v>0</v>
      </c>
      <c r="S92" s="134">
        <v>0</v>
      </c>
      <c r="T92" s="134">
        <v>0</v>
      </c>
      <c r="U92" s="134">
        <v>0</v>
      </c>
      <c r="V92" s="136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</row>
    <row r="93" spans="2:40" ht="15.75" hidden="1" thickTop="1" x14ac:dyDescent="0.25">
      <c r="B93" s="310"/>
      <c r="C93" s="137" t="s">
        <v>54</v>
      </c>
      <c r="D93" s="138">
        <f>IF(D72&lt;=Comparaison!$D$45, SUM(D87:D92),)</f>
        <v>-87000</v>
      </c>
      <c r="E93" s="138">
        <f>IF(E72&lt;Comparaison!$D$45, SUM(E87:E92),)</f>
        <v>-435.90000000000009</v>
      </c>
      <c r="F93" s="138">
        <f>IF(F72&lt;Comparaison!$D$45, SUM(F87:F92),)</f>
        <v>-435.90000000000009</v>
      </c>
      <c r="G93" s="138">
        <f>IF(G72&lt;Comparaison!$D$45, SUM(G87:G92),)</f>
        <v>-435.90000000000009</v>
      </c>
      <c r="H93" s="138">
        <f>IF(H72&lt;Comparaison!$D$45, SUM(H87:H92),)</f>
        <v>-435.90000000000009</v>
      </c>
      <c r="I93" s="138">
        <f>IF(I72&lt;Comparaison!$D$45, SUM(I87:I92),)</f>
        <v>-435.90000000000009</v>
      </c>
      <c r="J93" s="138">
        <f>IF(J72&lt;Comparaison!$D$45, SUM(J87:J92),)</f>
        <v>-76435.899999999994</v>
      </c>
      <c r="K93" s="138">
        <f>IF(K72&lt;Comparaison!$D$45, SUM(K87:K92),)</f>
        <v>-435.90000000000009</v>
      </c>
      <c r="L93" s="138">
        <f>IF(L72&lt;Comparaison!$D$45, SUM(L87:L92),)</f>
        <v>-435.90000000000009</v>
      </c>
      <c r="M93" s="138">
        <f>IF(M72&lt;Comparaison!$D$45, SUM(M87:M92),)</f>
        <v>-435.90000000000009</v>
      </c>
      <c r="N93" s="138">
        <f>IF(N72&lt;Comparaison!$D$45, SUM(N87:N92),)</f>
        <v>-435.90000000000009</v>
      </c>
      <c r="O93" s="138">
        <f>IF(O72&lt;Comparaison!$D$45, SUM(O87:O92),)</f>
        <v>-435.90000000000009</v>
      </c>
      <c r="P93" s="138">
        <f>IF(P72&lt;Comparaison!$D$45, SUM(P87:P92),)</f>
        <v>0</v>
      </c>
      <c r="Q93" s="138">
        <f>IF(Q72&lt;Comparaison!$D$45, SUM(Q87:Q92),)</f>
        <v>0</v>
      </c>
      <c r="R93" s="138">
        <f>IF(R72&lt;Comparaison!$D$45, SUM(R87:R92),)</f>
        <v>0</v>
      </c>
      <c r="S93" s="138">
        <f>IF(S72&lt;Comparaison!$D$45, SUM(S87:S92),)</f>
        <v>0</v>
      </c>
      <c r="T93" s="138">
        <f>IF(T72&lt;Comparaison!$D$45, SUM(T87:T92),)</f>
        <v>0</v>
      </c>
      <c r="U93" s="138">
        <f>IF(U72&lt;Comparaison!$D$45, SUM(U87:U92),)</f>
        <v>0</v>
      </c>
      <c r="V93" s="139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</row>
    <row r="94" spans="2:40" hidden="1" x14ac:dyDescent="0.25">
      <c r="B94" s="310"/>
      <c r="C94" s="140" t="s">
        <v>55</v>
      </c>
      <c r="D94" s="141">
        <f>D93+NPV(Comparaison!D17,E93:V93)</f>
        <v>-167794.89999999997</v>
      </c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</row>
    <row r="95" spans="2:40" ht="15.75" hidden="1" thickBot="1" x14ac:dyDescent="0.3">
      <c r="B95" s="311"/>
      <c r="C95" s="144" t="s">
        <v>56</v>
      </c>
      <c r="D95" s="145">
        <f>PMT(Comparaison!D17,Comparaison!D45,D94,0)</f>
        <v>13982.908333333331</v>
      </c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7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</row>
    <row r="96" spans="2:40" ht="15.75" thickBot="1" x14ac:dyDescent="0.3"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</row>
    <row r="97" spans="2:40" ht="15.75" thickBot="1" x14ac:dyDescent="0.3">
      <c r="B97" s="123"/>
      <c r="C97" s="302" t="s">
        <v>124</v>
      </c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3"/>
      <c r="AH97" s="303"/>
      <c r="AI97" s="303"/>
      <c r="AJ97" s="303"/>
      <c r="AK97" s="303"/>
      <c r="AL97" s="303"/>
      <c r="AM97" s="303"/>
      <c r="AN97" s="304"/>
    </row>
    <row r="98" spans="2:40" ht="15.75" customHeight="1" thickBot="1" x14ac:dyDescent="0.3">
      <c r="B98" s="305" t="s">
        <v>7</v>
      </c>
      <c r="C98" s="125" t="s">
        <v>60</v>
      </c>
      <c r="D98" s="126">
        <v>0</v>
      </c>
      <c r="E98" s="149">
        <f t="shared" ref="E98:AN98" si="12">D98+0.5</f>
        <v>0.5</v>
      </c>
      <c r="F98" s="149">
        <f t="shared" si="12"/>
        <v>1</v>
      </c>
      <c r="G98" s="149">
        <f t="shared" si="12"/>
        <v>1.5</v>
      </c>
      <c r="H98" s="149">
        <f t="shared" si="12"/>
        <v>2</v>
      </c>
      <c r="I98" s="149">
        <f t="shared" si="12"/>
        <v>2.5</v>
      </c>
      <c r="J98" s="149">
        <f t="shared" si="12"/>
        <v>3</v>
      </c>
      <c r="K98" s="149">
        <f t="shared" si="12"/>
        <v>3.5</v>
      </c>
      <c r="L98" s="149">
        <f t="shared" si="12"/>
        <v>4</v>
      </c>
      <c r="M98" s="149">
        <f t="shared" si="12"/>
        <v>4.5</v>
      </c>
      <c r="N98" s="149">
        <f t="shared" si="12"/>
        <v>5</v>
      </c>
      <c r="O98" s="149">
        <f t="shared" si="12"/>
        <v>5.5</v>
      </c>
      <c r="P98" s="149">
        <f t="shared" si="12"/>
        <v>6</v>
      </c>
      <c r="Q98" s="149">
        <f t="shared" si="12"/>
        <v>6.5</v>
      </c>
      <c r="R98" s="149">
        <f t="shared" si="12"/>
        <v>7</v>
      </c>
      <c r="S98" s="149">
        <f t="shared" si="12"/>
        <v>7.5</v>
      </c>
      <c r="T98" s="149">
        <f t="shared" si="12"/>
        <v>8</v>
      </c>
      <c r="U98" s="149">
        <f t="shared" si="12"/>
        <v>8.5</v>
      </c>
      <c r="V98" s="149">
        <f t="shared" si="12"/>
        <v>9</v>
      </c>
      <c r="W98" s="149">
        <f t="shared" si="12"/>
        <v>9.5</v>
      </c>
      <c r="X98" s="149">
        <f t="shared" si="12"/>
        <v>10</v>
      </c>
      <c r="Y98" s="149">
        <f t="shared" si="12"/>
        <v>10.5</v>
      </c>
      <c r="Z98" s="149">
        <f t="shared" si="12"/>
        <v>11</v>
      </c>
      <c r="AA98" s="149">
        <f t="shared" si="12"/>
        <v>11.5</v>
      </c>
      <c r="AB98" s="149">
        <f t="shared" si="12"/>
        <v>12</v>
      </c>
      <c r="AC98" s="149">
        <f t="shared" si="12"/>
        <v>12.5</v>
      </c>
      <c r="AD98" s="149">
        <f t="shared" si="12"/>
        <v>13</v>
      </c>
      <c r="AE98" s="149">
        <f t="shared" si="12"/>
        <v>13.5</v>
      </c>
      <c r="AF98" s="149">
        <f t="shared" si="12"/>
        <v>14</v>
      </c>
      <c r="AG98" s="149">
        <f t="shared" si="12"/>
        <v>14.5</v>
      </c>
      <c r="AH98" s="149">
        <f t="shared" si="12"/>
        <v>15</v>
      </c>
      <c r="AI98" s="149">
        <f t="shared" si="12"/>
        <v>15.5</v>
      </c>
      <c r="AJ98" s="149">
        <f t="shared" si="12"/>
        <v>16</v>
      </c>
      <c r="AK98" s="149">
        <f t="shared" si="12"/>
        <v>16.5</v>
      </c>
      <c r="AL98" s="149">
        <f t="shared" si="12"/>
        <v>17</v>
      </c>
      <c r="AM98" s="149">
        <f t="shared" si="12"/>
        <v>17.5</v>
      </c>
      <c r="AN98" s="150">
        <f t="shared" si="12"/>
        <v>18</v>
      </c>
    </row>
    <row r="99" spans="2:40" x14ac:dyDescent="0.25">
      <c r="B99" s="306"/>
      <c r="C99" s="133" t="s">
        <v>129</v>
      </c>
      <c r="D99" s="134">
        <f>-Comparaison!D32</f>
        <v>0</v>
      </c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36"/>
    </row>
    <row r="100" spans="2:40" x14ac:dyDescent="0.25">
      <c r="B100" s="306"/>
      <c r="C100" s="133" t="s">
        <v>130</v>
      </c>
      <c r="D100" s="134">
        <f>-Comparaison!D31</f>
        <v>-35000</v>
      </c>
      <c r="E100" s="151">
        <f>IF(MOD(E98,Comparaison!$D$45)=0,-$D$126,0)</f>
        <v>0</v>
      </c>
      <c r="F100" s="151">
        <f>IF(MOD(F98,Comparaison!$D$45)=0,-$D$126,0)</f>
        <v>0</v>
      </c>
      <c r="G100" s="151">
        <f>IF(MOD(G98,Comparaison!$D$45)=0,-$D$126,0)</f>
        <v>0</v>
      </c>
      <c r="H100" s="151">
        <f>IF(MOD(H98,Comparaison!$D$45)=0,-$D$126,0)</f>
        <v>0</v>
      </c>
      <c r="I100" s="151">
        <f>IF(MOD(I98,Comparaison!$D$45)=0,-$D$126,0)</f>
        <v>0</v>
      </c>
      <c r="J100" s="151">
        <f>IF(MOD(J98,Comparaison!$D$45)=0,-$D$126,0)</f>
        <v>0</v>
      </c>
      <c r="K100" s="151">
        <f>IF(MOD(K98,Comparaison!$D$45)=0,-$D$126,0)</f>
        <v>0</v>
      </c>
      <c r="L100" s="151">
        <f>IF(MOD(L98,Comparaison!$D$45)=0,-$D$126,0)</f>
        <v>0</v>
      </c>
      <c r="M100" s="151">
        <f>IF(MOD(M98,Comparaison!$D$45)=0,-$D$126,0)</f>
        <v>0</v>
      </c>
      <c r="N100" s="151">
        <f>IF(MOD(N98,Comparaison!$D$45)=0,-$D$126,0)</f>
        <v>0</v>
      </c>
      <c r="O100" s="151">
        <f>IF(MOD(O98,Comparaison!$D$45)=0,-$D$126,0)</f>
        <v>0</v>
      </c>
      <c r="P100" s="151">
        <f>IF(MOD(P98,Comparaison!$D$45)=0,-$D$126,0)</f>
        <v>0</v>
      </c>
      <c r="Q100" s="151">
        <f>IF(MOD(Q98,Comparaison!$D$45)=0,-$D$126,0)</f>
        <v>0</v>
      </c>
      <c r="R100" s="151">
        <f>IF(MOD(R98,Comparaison!$D$45)=0,-$D$126,0)</f>
        <v>0</v>
      </c>
      <c r="S100" s="151">
        <f>IF(MOD(S98,Comparaison!$D$45)=0,-$D$126,0)</f>
        <v>0</v>
      </c>
      <c r="T100" s="151">
        <f>IF(MOD(T98,Comparaison!$D$45)=0,-$D$126,0)</f>
        <v>0</v>
      </c>
      <c r="U100" s="151">
        <f>IF(MOD(U98,Comparaison!$D$45)=0,-$D$126,0)</f>
        <v>0</v>
      </c>
      <c r="V100" s="151">
        <f>IF(MOD(V98,Comparaison!$D$45)=0,-$D$126,0)</f>
        <v>0</v>
      </c>
      <c r="W100" s="151">
        <f>IF(MOD(W98,Comparaison!$D$45)=0,-$D$126,0)</f>
        <v>0</v>
      </c>
      <c r="X100" s="151">
        <f>IF(MOD(X98,Comparaison!$D$45)=0,-$D$126,0)</f>
        <v>0</v>
      </c>
      <c r="Y100" s="151">
        <f>IF(MOD(Y98,Comparaison!$D$45)=0,-$D$126,0)</f>
        <v>0</v>
      </c>
      <c r="Z100" s="151">
        <f>IF(MOD(Z98,Comparaison!$D$45)=0,-$D$126,0)</f>
        <v>0</v>
      </c>
      <c r="AA100" s="151">
        <f>IF(MOD(AA98,Comparaison!$D$45)=0,-$D$126,0)</f>
        <v>0</v>
      </c>
      <c r="AB100" s="151">
        <f>IF(MOD(AB98,Comparaison!$D$45)=0,-$D$126,0)</f>
        <v>-30000</v>
      </c>
      <c r="AC100" s="151">
        <f>IF(MOD(AC98,Comparaison!$D$45)=0,-$D$126,0)</f>
        <v>0</v>
      </c>
      <c r="AD100" s="151">
        <f>IF(MOD(AD98,Comparaison!$D$45)=0,-$D$126,0)</f>
        <v>0</v>
      </c>
      <c r="AE100" s="151">
        <f>IF(MOD(AE98,Comparaison!$D$45)=0,-$D$126,0)</f>
        <v>0</v>
      </c>
      <c r="AF100" s="151">
        <f>IF(MOD(AF98,Comparaison!$D$45)=0,-$D$126,0)</f>
        <v>0</v>
      </c>
      <c r="AG100" s="151">
        <f>IF(MOD(AG98,Comparaison!$D$45)=0,-$D$126,0)</f>
        <v>0</v>
      </c>
      <c r="AH100" s="151">
        <f>IF(MOD(AH98,Comparaison!$D$45)=0,-$D$126,0)</f>
        <v>0</v>
      </c>
      <c r="AI100" s="151">
        <f>IF(MOD(AI98,Comparaison!$D$45)=0,-$D$126,0)</f>
        <v>0</v>
      </c>
      <c r="AJ100" s="151">
        <f>IF(MOD(AJ98,Comparaison!$D$45)=0,-$D$126,0)</f>
        <v>0</v>
      </c>
      <c r="AK100" s="151">
        <f>IF(MOD(AK98,Comparaison!$D$45)=0,-$D$126,0)</f>
        <v>0</v>
      </c>
      <c r="AL100" s="151">
        <f>IF(MOD(AL98,Comparaison!$D$45)=0,-$D$126,0)</f>
        <v>0</v>
      </c>
      <c r="AM100" s="151">
        <f>IF(MOD(AM98,Comparaison!$D$45)=0,-$D$126,0)</f>
        <v>0</v>
      </c>
      <c r="AN100" s="247">
        <f>IF(MOD(AN98,Comparaison!$D$45)=0,-$D$126,0)</f>
        <v>0</v>
      </c>
    </row>
    <row r="101" spans="2:40" x14ac:dyDescent="0.25">
      <c r="B101" s="306"/>
      <c r="C101" s="133" t="s">
        <v>131</v>
      </c>
      <c r="D101" s="134"/>
      <c r="E101" s="151">
        <f>IF(MOD(E98,$D$138)=0,-$D$128-Comparaison!$D$37,0)</f>
        <v>0</v>
      </c>
      <c r="F101" s="151">
        <f>IF(MOD(F98,$D$138)=0,-$D$128-Comparaison!$D$37,0)</f>
        <v>0</v>
      </c>
      <c r="G101" s="151">
        <f>IF(MOD(G98,$D$138)=0,-$D$128-Comparaison!$D$37,0)</f>
        <v>0</v>
      </c>
      <c r="H101" s="151">
        <f>IF(MOD(H98,$D$138)=0,-$D$128-Comparaison!$D$37,0)</f>
        <v>0</v>
      </c>
      <c r="I101" s="151">
        <f>IF(MOD(I98,$D$138)=0,-$D$128-Comparaison!$D$37,0)</f>
        <v>0</v>
      </c>
      <c r="J101" s="151">
        <f>IF(MOD(J98,$D$138)=0,-$D$128-Comparaison!$D$37,0)</f>
        <v>0</v>
      </c>
      <c r="K101" s="151">
        <f>IF(MOD(K98,$D$138)=0,-$D$128-Comparaison!$D$37,0)</f>
        <v>0</v>
      </c>
      <c r="L101" s="151">
        <f>IF(MOD(L98,$D$138)=0,-$D$128-Comparaison!$D$37,0)</f>
        <v>-3500</v>
      </c>
      <c r="M101" s="151">
        <f>IF(MOD(M98,$D$138)=0,-$D$128-Comparaison!$D$37,0)</f>
        <v>0</v>
      </c>
      <c r="N101" s="151">
        <f>IF(MOD(N98,$D$138)=0,-$D$128-Comparaison!$D$37,0)</f>
        <v>0</v>
      </c>
      <c r="O101" s="151">
        <f>IF(MOD(O98,$D$138)=0,-$D$128-Comparaison!$D$37,0)</f>
        <v>0</v>
      </c>
      <c r="P101" s="151">
        <f>IF(MOD(P98,$D$138)=0,-$D$128-Comparaison!$D$37,0)</f>
        <v>0</v>
      </c>
      <c r="Q101" s="151">
        <f>IF(MOD(Q98,$D$138)=0,-$D$128-Comparaison!$D$37,0)</f>
        <v>0</v>
      </c>
      <c r="R101" s="151">
        <f>IF(MOD(R98,$D$138)=0,-$D$128-Comparaison!$D$37,0)</f>
        <v>0</v>
      </c>
      <c r="S101" s="151">
        <f>IF(MOD(S98,$D$138)=0,-$D$128-Comparaison!$D$37,0)</f>
        <v>0</v>
      </c>
      <c r="T101" s="151">
        <f>IF(MOD(T98,$D$138)=0,-$D$128-Comparaison!$D$37,0)</f>
        <v>-3500</v>
      </c>
      <c r="U101" s="151">
        <f>IF(MOD(U98,$D$138)=0,-$D$128-Comparaison!$D$37,0)</f>
        <v>0</v>
      </c>
      <c r="V101" s="151">
        <f>IF(MOD(V98,$D$138)=0,-$D$128-Comparaison!$D$37,0)</f>
        <v>0</v>
      </c>
      <c r="W101" s="151">
        <f>IF(MOD(W98,$D$138)=0,-$D$128-Comparaison!$D$37,0)</f>
        <v>0</v>
      </c>
      <c r="X101" s="151">
        <f>IF(MOD(X98,$D$138)=0,-$D$128-Comparaison!$D$37,0)</f>
        <v>0</v>
      </c>
      <c r="Y101" s="151">
        <f>IF(MOD(Y98,$D$138)=0,-$D$128-Comparaison!$D$37,0)</f>
        <v>0</v>
      </c>
      <c r="Z101" s="151">
        <f>IF(MOD(Z98,$D$138)=0,-$D$128-Comparaison!$D$37,0)</f>
        <v>0</v>
      </c>
      <c r="AA101" s="151">
        <f>IF(MOD(AA98,$D$138)=0,-$D$128-Comparaison!$D$37,0)</f>
        <v>0</v>
      </c>
      <c r="AB101" s="151">
        <f>IF(MOD(AB98,$D$138)=0,-$D$128-Comparaison!$D$37,0)</f>
        <v>-3500</v>
      </c>
      <c r="AC101" s="151">
        <f>IF(MOD(AC98,$D$138)=0,-$D$128-Comparaison!$D$37,0)</f>
        <v>0</v>
      </c>
      <c r="AD101" s="151">
        <f>IF(MOD(AD98,$D$138)=0,-$D$128-Comparaison!$D$37,0)</f>
        <v>0</v>
      </c>
      <c r="AE101" s="151">
        <f>IF(MOD(AE98,$D$138)=0,-$D$128-Comparaison!$D$37,0)</f>
        <v>0</v>
      </c>
      <c r="AF101" s="151">
        <f>IF(MOD(AF98,$D$138)=0,-$D$128-Comparaison!$D$37,0)</f>
        <v>0</v>
      </c>
      <c r="AG101" s="151">
        <f>IF(MOD(AG98,$D$138)=0,-$D$128-Comparaison!$D$37,0)</f>
        <v>0</v>
      </c>
      <c r="AH101" s="151">
        <f>IF(MOD(AH98,$D$138)=0,-$D$128-Comparaison!$D$37,0)</f>
        <v>0</v>
      </c>
      <c r="AI101" s="151">
        <f>IF(MOD(AI98,$D$138)=0,-$D$128-Comparaison!$D$37,0)</f>
        <v>0</v>
      </c>
      <c r="AJ101" s="151">
        <f>IF(MOD(AJ98,$D$138)=0,-$D$128-Comparaison!$D$37,0)</f>
        <v>-3500</v>
      </c>
      <c r="AK101" s="151">
        <f>IF(MOD(AK98,$D$138)=0,-$D$128-Comparaison!$D$37,0)</f>
        <v>0</v>
      </c>
      <c r="AL101" s="151">
        <f>IF(MOD(AL98,$D$138)=0,-$D$128-Comparaison!$D$37,0)</f>
        <v>0</v>
      </c>
      <c r="AM101" s="151">
        <f>IF(MOD(AM98,$D$138)=0,-$D$128-Comparaison!$D$37,0)</f>
        <v>0</v>
      </c>
      <c r="AN101" s="247">
        <f>IF(MOD(AN98,$D$138)=0,-$D$128-Comparaison!$D$37,0)</f>
        <v>0</v>
      </c>
    </row>
    <row r="102" spans="2:40" x14ac:dyDescent="0.25">
      <c r="B102" s="306"/>
      <c r="C102" s="133" t="s">
        <v>128</v>
      </c>
      <c r="D102" s="134"/>
      <c r="E102" s="151">
        <f t="shared" ref="E102:AL102" si="13">IF(MOD(E98,$D$137)=0,-$D$127,0)</f>
        <v>0</v>
      </c>
      <c r="F102" s="151">
        <f t="shared" si="13"/>
        <v>0</v>
      </c>
      <c r="G102" s="151">
        <f t="shared" si="13"/>
        <v>0</v>
      </c>
      <c r="H102" s="151">
        <f t="shared" si="13"/>
        <v>0</v>
      </c>
      <c r="I102" s="151">
        <f t="shared" si="13"/>
        <v>0</v>
      </c>
      <c r="J102" s="151">
        <f t="shared" si="13"/>
        <v>0</v>
      </c>
      <c r="K102" s="151">
        <f t="shared" si="13"/>
        <v>0</v>
      </c>
      <c r="L102" s="151">
        <f t="shared" si="13"/>
        <v>0</v>
      </c>
      <c r="M102" s="151">
        <f t="shared" si="13"/>
        <v>0</v>
      </c>
      <c r="N102" s="151">
        <f t="shared" si="13"/>
        <v>0</v>
      </c>
      <c r="O102" s="151">
        <f t="shared" si="13"/>
        <v>0</v>
      </c>
      <c r="P102" s="151">
        <f t="shared" si="13"/>
        <v>0</v>
      </c>
      <c r="Q102" s="151">
        <f t="shared" si="13"/>
        <v>0</v>
      </c>
      <c r="R102" s="151">
        <f t="shared" si="13"/>
        <v>0</v>
      </c>
      <c r="S102" s="151">
        <f t="shared" si="13"/>
        <v>0</v>
      </c>
      <c r="T102" s="151">
        <f t="shared" si="13"/>
        <v>0</v>
      </c>
      <c r="U102" s="151">
        <f t="shared" si="13"/>
        <v>0</v>
      </c>
      <c r="V102" s="151">
        <f t="shared" si="13"/>
        <v>0</v>
      </c>
      <c r="W102" s="151">
        <f t="shared" si="13"/>
        <v>0</v>
      </c>
      <c r="X102" s="151">
        <f t="shared" si="13"/>
        <v>0</v>
      </c>
      <c r="Y102" s="151">
        <f t="shared" si="13"/>
        <v>0</v>
      </c>
      <c r="Z102" s="151">
        <f t="shared" si="13"/>
        <v>0</v>
      </c>
      <c r="AA102" s="151">
        <f t="shared" si="13"/>
        <v>0</v>
      </c>
      <c r="AB102" s="151">
        <f t="shared" si="13"/>
        <v>-5000</v>
      </c>
      <c r="AC102" s="151">
        <f t="shared" si="13"/>
        <v>0</v>
      </c>
      <c r="AD102" s="151">
        <f t="shared" si="13"/>
        <v>0</v>
      </c>
      <c r="AE102" s="151">
        <f t="shared" si="13"/>
        <v>0</v>
      </c>
      <c r="AF102" s="151">
        <f t="shared" si="13"/>
        <v>0</v>
      </c>
      <c r="AG102" s="151">
        <f t="shared" si="13"/>
        <v>0</v>
      </c>
      <c r="AH102" s="151">
        <f t="shared" si="13"/>
        <v>0</v>
      </c>
      <c r="AI102" s="151">
        <f t="shared" si="13"/>
        <v>0</v>
      </c>
      <c r="AJ102" s="151">
        <f t="shared" si="13"/>
        <v>0</v>
      </c>
      <c r="AK102" s="151">
        <f t="shared" si="13"/>
        <v>0</v>
      </c>
      <c r="AL102" s="151">
        <f t="shared" si="13"/>
        <v>0</v>
      </c>
      <c r="AM102" s="151">
        <f t="shared" ref="AM102:AN102" si="14">IF(MOD(AM98,$D$137)=0,-$D$127,0)</f>
        <v>0</v>
      </c>
      <c r="AN102" s="247">
        <f t="shared" si="14"/>
        <v>0</v>
      </c>
    </row>
    <row r="103" spans="2:40" hidden="1" x14ac:dyDescent="0.25">
      <c r="B103" s="306"/>
      <c r="C103" s="133"/>
      <c r="D103" s="134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247"/>
    </row>
    <row r="104" spans="2:40" hidden="1" x14ac:dyDescent="0.25">
      <c r="B104" s="306"/>
      <c r="C104" s="133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247"/>
    </row>
    <row r="105" spans="2:40" x14ac:dyDescent="0.25">
      <c r="B105" s="306"/>
      <c r="C105" s="133" t="s">
        <v>127</v>
      </c>
      <c r="D105" s="151"/>
      <c r="E105" s="151">
        <f t="shared" ref="E105:AN105" si="15">-($D$45/100*$D$135*$D$47)/2</f>
        <v>-196.00000000000003</v>
      </c>
      <c r="F105" s="151">
        <f t="shared" si="15"/>
        <v>-196.00000000000003</v>
      </c>
      <c r="G105" s="151">
        <f t="shared" si="15"/>
        <v>-196.00000000000003</v>
      </c>
      <c r="H105" s="151">
        <f t="shared" si="15"/>
        <v>-196.00000000000003</v>
      </c>
      <c r="I105" s="151">
        <f t="shared" si="15"/>
        <v>-196.00000000000003</v>
      </c>
      <c r="J105" s="151">
        <f t="shared" si="15"/>
        <v>-196.00000000000003</v>
      </c>
      <c r="K105" s="151">
        <f t="shared" si="15"/>
        <v>-196.00000000000003</v>
      </c>
      <c r="L105" s="151">
        <f t="shared" si="15"/>
        <v>-196.00000000000003</v>
      </c>
      <c r="M105" s="151">
        <f t="shared" si="15"/>
        <v>-196.00000000000003</v>
      </c>
      <c r="N105" s="151">
        <f t="shared" si="15"/>
        <v>-196.00000000000003</v>
      </c>
      <c r="O105" s="151">
        <f t="shared" si="15"/>
        <v>-196.00000000000003</v>
      </c>
      <c r="P105" s="151">
        <f t="shared" si="15"/>
        <v>-196.00000000000003</v>
      </c>
      <c r="Q105" s="151">
        <f t="shared" si="15"/>
        <v>-196.00000000000003</v>
      </c>
      <c r="R105" s="151">
        <f t="shared" si="15"/>
        <v>-196.00000000000003</v>
      </c>
      <c r="S105" s="151">
        <f t="shared" si="15"/>
        <v>-196.00000000000003</v>
      </c>
      <c r="T105" s="151">
        <f t="shared" si="15"/>
        <v>-196.00000000000003</v>
      </c>
      <c r="U105" s="151">
        <f t="shared" si="15"/>
        <v>-196.00000000000003</v>
      </c>
      <c r="V105" s="151">
        <f t="shared" si="15"/>
        <v>-196.00000000000003</v>
      </c>
      <c r="W105" s="151">
        <f t="shared" si="15"/>
        <v>-196.00000000000003</v>
      </c>
      <c r="X105" s="151">
        <f t="shared" si="15"/>
        <v>-196.00000000000003</v>
      </c>
      <c r="Y105" s="151">
        <f t="shared" si="15"/>
        <v>-196.00000000000003</v>
      </c>
      <c r="Z105" s="151">
        <f t="shared" si="15"/>
        <v>-196.00000000000003</v>
      </c>
      <c r="AA105" s="151">
        <f t="shared" si="15"/>
        <v>-196.00000000000003</v>
      </c>
      <c r="AB105" s="151">
        <f t="shared" si="15"/>
        <v>-196.00000000000003</v>
      </c>
      <c r="AC105" s="151">
        <f t="shared" si="15"/>
        <v>-196.00000000000003</v>
      </c>
      <c r="AD105" s="151">
        <f t="shared" si="15"/>
        <v>-196.00000000000003</v>
      </c>
      <c r="AE105" s="151">
        <f t="shared" si="15"/>
        <v>-196.00000000000003</v>
      </c>
      <c r="AF105" s="151">
        <f t="shared" si="15"/>
        <v>-196.00000000000003</v>
      </c>
      <c r="AG105" s="151">
        <f t="shared" si="15"/>
        <v>-196.00000000000003</v>
      </c>
      <c r="AH105" s="151">
        <f t="shared" si="15"/>
        <v>-196.00000000000003</v>
      </c>
      <c r="AI105" s="151">
        <f t="shared" si="15"/>
        <v>-196.00000000000003</v>
      </c>
      <c r="AJ105" s="151">
        <f t="shared" si="15"/>
        <v>-196.00000000000003</v>
      </c>
      <c r="AK105" s="151">
        <f t="shared" si="15"/>
        <v>-196.00000000000003</v>
      </c>
      <c r="AL105" s="151">
        <f t="shared" si="15"/>
        <v>-196.00000000000003</v>
      </c>
      <c r="AM105" s="151">
        <f t="shared" si="15"/>
        <v>-196.00000000000003</v>
      </c>
      <c r="AN105" s="247">
        <f t="shared" si="15"/>
        <v>-196.00000000000003</v>
      </c>
    </row>
    <row r="106" spans="2:40" x14ac:dyDescent="0.25">
      <c r="B106" s="306"/>
      <c r="C106" s="133" t="s">
        <v>126</v>
      </c>
      <c r="D106" s="151"/>
      <c r="E106" s="151">
        <f t="shared" ref="E106:AN106" si="16">-($D$54*$D$45)*(1-$D$134)/2</f>
        <v>-200.09999999999997</v>
      </c>
      <c r="F106" s="151">
        <f t="shared" si="16"/>
        <v>-200.09999999999997</v>
      </c>
      <c r="G106" s="151">
        <f t="shared" si="16"/>
        <v>-200.09999999999997</v>
      </c>
      <c r="H106" s="151">
        <f t="shared" si="16"/>
        <v>-200.09999999999997</v>
      </c>
      <c r="I106" s="151">
        <f t="shared" si="16"/>
        <v>-200.09999999999997</v>
      </c>
      <c r="J106" s="151">
        <f t="shared" si="16"/>
        <v>-200.09999999999997</v>
      </c>
      <c r="K106" s="151">
        <f t="shared" si="16"/>
        <v>-200.09999999999997</v>
      </c>
      <c r="L106" s="151">
        <f t="shared" si="16"/>
        <v>-200.09999999999997</v>
      </c>
      <c r="M106" s="151">
        <f t="shared" si="16"/>
        <v>-200.09999999999997</v>
      </c>
      <c r="N106" s="151">
        <f t="shared" si="16"/>
        <v>-200.09999999999997</v>
      </c>
      <c r="O106" s="151">
        <f t="shared" si="16"/>
        <v>-200.09999999999997</v>
      </c>
      <c r="P106" s="151">
        <f t="shared" si="16"/>
        <v>-200.09999999999997</v>
      </c>
      <c r="Q106" s="151">
        <f t="shared" si="16"/>
        <v>-200.09999999999997</v>
      </c>
      <c r="R106" s="151">
        <f t="shared" si="16"/>
        <v>-200.09999999999997</v>
      </c>
      <c r="S106" s="151">
        <f t="shared" si="16"/>
        <v>-200.09999999999997</v>
      </c>
      <c r="T106" s="151">
        <f t="shared" si="16"/>
        <v>-200.09999999999997</v>
      </c>
      <c r="U106" s="151">
        <f t="shared" si="16"/>
        <v>-200.09999999999997</v>
      </c>
      <c r="V106" s="151">
        <f t="shared" si="16"/>
        <v>-200.09999999999997</v>
      </c>
      <c r="W106" s="151">
        <f t="shared" si="16"/>
        <v>-200.09999999999997</v>
      </c>
      <c r="X106" s="151">
        <f t="shared" si="16"/>
        <v>-200.09999999999997</v>
      </c>
      <c r="Y106" s="151">
        <f t="shared" si="16"/>
        <v>-200.09999999999997</v>
      </c>
      <c r="Z106" s="151">
        <f t="shared" si="16"/>
        <v>-200.09999999999997</v>
      </c>
      <c r="AA106" s="151">
        <f t="shared" si="16"/>
        <v>-200.09999999999997</v>
      </c>
      <c r="AB106" s="151">
        <f t="shared" si="16"/>
        <v>-200.09999999999997</v>
      </c>
      <c r="AC106" s="151">
        <f t="shared" si="16"/>
        <v>-200.09999999999997</v>
      </c>
      <c r="AD106" s="151">
        <f t="shared" si="16"/>
        <v>-200.09999999999997</v>
      </c>
      <c r="AE106" s="151">
        <f t="shared" si="16"/>
        <v>-200.09999999999997</v>
      </c>
      <c r="AF106" s="151">
        <f t="shared" si="16"/>
        <v>-200.09999999999997</v>
      </c>
      <c r="AG106" s="151">
        <f t="shared" si="16"/>
        <v>-200.09999999999997</v>
      </c>
      <c r="AH106" s="151">
        <f t="shared" si="16"/>
        <v>-200.09999999999997</v>
      </c>
      <c r="AI106" s="151">
        <f t="shared" si="16"/>
        <v>-200.09999999999997</v>
      </c>
      <c r="AJ106" s="151">
        <f t="shared" si="16"/>
        <v>-200.09999999999997</v>
      </c>
      <c r="AK106" s="151">
        <f t="shared" si="16"/>
        <v>-200.09999999999997</v>
      </c>
      <c r="AL106" s="151">
        <f t="shared" si="16"/>
        <v>-200.09999999999997</v>
      </c>
      <c r="AM106" s="151">
        <f t="shared" si="16"/>
        <v>-200.09999999999997</v>
      </c>
      <c r="AN106" s="247">
        <f t="shared" si="16"/>
        <v>-200.09999999999997</v>
      </c>
    </row>
    <row r="107" spans="2:40" hidden="1" x14ac:dyDescent="0.25">
      <c r="B107" s="306"/>
      <c r="C107" s="133">
        <f>$C$133</f>
        <v>0</v>
      </c>
      <c r="D107" s="151">
        <f>Comparaison!$D$39/6</f>
        <v>0</v>
      </c>
      <c r="E107" s="151">
        <f>Comparaison!$D$39/6</f>
        <v>0</v>
      </c>
      <c r="F107" s="134">
        <f>Comparaison!$D$39/6</f>
        <v>0</v>
      </c>
      <c r="G107" s="134">
        <f>Comparaison!$D$39/6</f>
        <v>0</v>
      </c>
      <c r="H107" s="134">
        <f>Comparaison!$D$39/6</f>
        <v>0</v>
      </c>
      <c r="I107" s="134">
        <f>Comparaison!$D$39/6</f>
        <v>0</v>
      </c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6"/>
    </row>
    <row r="108" spans="2:40" ht="15.75" customHeight="1" thickBot="1" x14ac:dyDescent="0.3">
      <c r="B108" s="306"/>
      <c r="C108" s="133" t="s">
        <v>125</v>
      </c>
      <c r="D108" s="151">
        <f>-D131</f>
        <v>0</v>
      </c>
      <c r="E108" s="151">
        <f>IF(MOD(G98,Comparaison!$D$45)=0,IF(MOD(G98,Comparaison!$D$45)=0,Comparaison!$D$374,0),IF(MOD(F98,Comparaison!$D$45)=0,Comparaison!$D$46,0))</f>
        <v>0</v>
      </c>
      <c r="F108" s="151">
        <f>IF(MOD(H98,Comparaison!$D$45)=0,IF(MOD(H98,Comparaison!$D$45)=0,Comparaison!$D$374,0),IF(MOD(G98,Comparaison!$D$45)=0,Comparaison!$D$46,0))</f>
        <v>0</v>
      </c>
      <c r="G108" s="151">
        <f>IF(MOD(I98,Comparaison!$D$45)=0,IF(MOD(I98,Comparaison!$D$45)=0,Comparaison!$D$374,0),IF(MOD(H98,Comparaison!$D$45)=0,Comparaison!$D$46,0))</f>
        <v>0</v>
      </c>
      <c r="H108" s="151">
        <f>IF(MOD(J98,Comparaison!$D$45)=0,IF(MOD(J98,Comparaison!$D$45)=0,Comparaison!$D$374,0),IF(MOD(I98,Comparaison!$D$45)=0,Comparaison!$D$46,0))</f>
        <v>0</v>
      </c>
      <c r="I108" s="151">
        <f>IF(MOD(K98,Comparaison!$D$45)=0,IF(MOD(K98,Comparaison!$D$45)=0,Comparaison!$D$374,0),IF(MOD(J98,Comparaison!$D$45)=0,Comparaison!$D$46,0))</f>
        <v>0</v>
      </c>
      <c r="J108" s="151">
        <f>IF(MOD(L98,Comparaison!$D$45)=0,IF(MOD(L98,Comparaison!$D$45)=0,Comparaison!$D$374,0),IF(MOD(K98,Comparaison!$D$45)=0,Comparaison!$D$46,0))</f>
        <v>0</v>
      </c>
      <c r="K108" s="151">
        <f>IF(MOD(M98,Comparaison!$D$45)=0,IF(MOD(M98,Comparaison!$D$45)=0,Comparaison!$D$374,0),IF(MOD(L98,Comparaison!$D$45)=0,Comparaison!$D$46,0))</f>
        <v>0</v>
      </c>
      <c r="L108" s="151">
        <f>IF(MOD(N98,Comparaison!$D$45)=0,IF(MOD(N98,Comparaison!$D$45)=0,Comparaison!$D$374,0),IF(MOD(M98,Comparaison!$D$45)=0,Comparaison!$D$46,0))</f>
        <v>0</v>
      </c>
      <c r="M108" s="151">
        <f>IF(MOD(O98,Comparaison!$D$45)=0,IF(MOD(O98,Comparaison!$D$45)=0,Comparaison!$D$374,0),IF(MOD(N98,Comparaison!$D$45)=0,Comparaison!$D$46,0))</f>
        <v>0</v>
      </c>
      <c r="N108" s="151">
        <f>IF(MOD(P98,Comparaison!$D$45)=0,IF(MOD(P98,Comparaison!$D$45)=0,Comparaison!$D$374,0),IF(MOD(O98,Comparaison!$D$45)=0,Comparaison!$D$46,0))</f>
        <v>0</v>
      </c>
      <c r="O108" s="151">
        <f>IF(MOD(Q98,Comparaison!$D$45)=0,IF(MOD(Q98,Comparaison!$D$45)=0,Comparaison!$D$374,0),IF(MOD(P98,Comparaison!$D$45)=0,Comparaison!$D$46,0))</f>
        <v>0</v>
      </c>
      <c r="P108" s="151">
        <f>IF(MOD(R98,Comparaison!$D$45)=0,IF(MOD(R98,Comparaison!$D$45)=0,Comparaison!$D$374,0),IF(MOD(Q98,Comparaison!$D$45)=0,Comparaison!$D$46,0))</f>
        <v>0</v>
      </c>
      <c r="Q108" s="151">
        <f>IF(MOD(S98,Comparaison!$D$45)=0,IF(MOD(S98,Comparaison!$D$45)=0,Comparaison!$D$374,0),IF(MOD(R98,Comparaison!$D$45)=0,Comparaison!$D$46,0))</f>
        <v>0</v>
      </c>
      <c r="R108" s="151">
        <f>IF(MOD(T98,Comparaison!$D$45)=0,IF(MOD(T98,Comparaison!$D$45)=0,Comparaison!$D$374,0),IF(MOD(S98,Comparaison!$D$45)=0,Comparaison!$D$46,0))</f>
        <v>0</v>
      </c>
      <c r="S108" s="151">
        <f>IF(MOD(U98,Comparaison!$D$45)=0,IF(MOD(U98,Comparaison!$D$45)=0,Comparaison!$D$374,0),IF(MOD(T98,Comparaison!$D$45)=0,Comparaison!$D$46,0))</f>
        <v>0</v>
      </c>
      <c r="T108" s="151">
        <f>IF(MOD(V98,Comparaison!$D$45)=0,IF(MOD(V98,Comparaison!$D$45)=0,Comparaison!$D$374,0),IF(MOD(U98,Comparaison!$D$45)=0,Comparaison!$D$46,0))</f>
        <v>0</v>
      </c>
      <c r="U108" s="151">
        <f>IF(MOD(W98,Comparaison!$D$45)=0,IF(MOD(W98,Comparaison!$D$45)=0,Comparaison!$D$374,0),IF(MOD(V98,Comparaison!$D$45)=0,Comparaison!$D$46,0))</f>
        <v>0</v>
      </c>
      <c r="V108" s="151">
        <f>IF(MOD(X98,Comparaison!$D$45)=0,IF(MOD(X98,Comparaison!$D$45)=0,Comparaison!$D$374,0),IF(MOD(W98,Comparaison!$D$45)=0,Comparaison!$D$46,0))</f>
        <v>0</v>
      </c>
      <c r="W108" s="151">
        <f>IF(MOD(Y98,Comparaison!$D$45)=0,IF(MOD(Y98,Comparaison!$D$45)=0,Comparaison!$D$374,0),IF(MOD(X98,Comparaison!$D$45)=0,Comparaison!$D$46,0))</f>
        <v>0</v>
      </c>
      <c r="X108" s="151">
        <f>IF(MOD(Z98,Comparaison!$D$45)=0,IF(MOD(Z98,Comparaison!$D$45)=0,Comparaison!$D$374,0),IF(MOD(Y98,Comparaison!$D$45)=0,Comparaison!$D$46,0))</f>
        <v>0</v>
      </c>
      <c r="Y108" s="151">
        <f>IF(MOD(AA98,Comparaison!$D$45)=0,IF(MOD(AA98,Comparaison!$D$45)=0,Comparaison!$D$374,0),IF(MOD(Z98,Comparaison!$D$45)=0,Comparaison!$D$46,0))</f>
        <v>0</v>
      </c>
      <c r="Z108" s="151">
        <f>IF(MOD(AB98,Comparaison!$D$45)=0,IF(MOD(AB98,Comparaison!$D$45)=0,Comparaison!$D$374,0),IF(MOD(AA98,Comparaison!$D$45)=0,Comparaison!$D$46,0))</f>
        <v>0</v>
      </c>
      <c r="AA108" s="151">
        <f>IF(MOD(AC98,Comparaison!$D$45)=0,IF(MOD(AC98,Comparaison!$D$45)=0,Comparaison!$D$374,0),IF(MOD(AB98,Comparaison!$D$45)=0,Comparaison!$D$46,0))</f>
        <v>3000</v>
      </c>
      <c r="AB108" s="151">
        <f>IF(MOD(AD98,Comparaison!$D$45)=0,IF(MOD(AD98,Comparaison!$D$45)=0,Comparaison!$D$374,0),IF(MOD(AC98,Comparaison!$D$45)=0,Comparaison!$D$46,0))</f>
        <v>0</v>
      </c>
      <c r="AC108" s="151">
        <f>IF(MOD(AE98,Comparaison!$D$45)=0,IF(MOD(AE98,Comparaison!$D$45)=0,Comparaison!$D$374,0),IF(MOD(AD98,Comparaison!$D$45)=0,Comparaison!$D$46,0))</f>
        <v>0</v>
      </c>
      <c r="AD108" s="151">
        <f>IF(MOD(AF98,Comparaison!$D$45)=0,IF(MOD(AF98,Comparaison!$D$45)=0,Comparaison!$D$374,0),IF(MOD(AE98,Comparaison!$D$45)=0,Comparaison!$D$46,0))</f>
        <v>0</v>
      </c>
      <c r="AE108" s="151">
        <f>IF(MOD(AG98,Comparaison!$D$45)=0,IF(MOD(AG98,Comparaison!$D$45)=0,Comparaison!$D$374,0),IF(MOD(AF98,Comparaison!$D$45)=0,Comparaison!$D$46,0))</f>
        <v>0</v>
      </c>
      <c r="AF108" s="151">
        <f>IF(MOD(AH98,Comparaison!$D$45)=0,IF(MOD(AH98,Comparaison!$D$45)=0,Comparaison!$D$374,0),IF(MOD(AG98,Comparaison!$D$45)=0,Comparaison!$D$46,0))</f>
        <v>0</v>
      </c>
      <c r="AG108" s="151">
        <f>IF(MOD(AI98,Comparaison!$D$45)=0,IF(MOD(AI98,Comparaison!$D$45)=0,Comparaison!$D$374,0),IF(MOD(AH98,Comparaison!$D$45)=0,Comparaison!$D$46,0))</f>
        <v>0</v>
      </c>
      <c r="AH108" s="151">
        <f>IF(MOD(AJ98,Comparaison!$D$45)=0,IF(MOD(AJ98,Comparaison!$D$45)=0,Comparaison!$D$374,0),IF(MOD(AI98,Comparaison!$D$45)=0,Comparaison!$D$46,0))</f>
        <v>0</v>
      </c>
      <c r="AI108" s="151">
        <f>IF(MOD(AK98,Comparaison!$D$45)=0,IF(MOD(AK98,Comparaison!$D$45)=0,Comparaison!$D$374,0),IF(MOD(AJ98,Comparaison!$D$45)=0,Comparaison!$D$46,0))</f>
        <v>0</v>
      </c>
      <c r="AJ108" s="151">
        <f>IF(MOD(AL98,Comparaison!$D$45)=0,IF(MOD(AL98,Comparaison!$D$45)=0,Comparaison!$D$374,0),IF(MOD(AK98,Comparaison!$D$45)=0,Comparaison!$D$46,0))</f>
        <v>0</v>
      </c>
      <c r="AK108" s="151">
        <f>IF(MOD(AM98,Comparaison!$D$45)=0,IF(MOD(AM98,Comparaison!$D$45)=0,Comparaison!$D$374,0),IF(MOD(AL98,Comparaison!$D$45)=0,Comparaison!$D$46,0))</f>
        <v>0</v>
      </c>
      <c r="AL108" s="151">
        <f>IF(MOD(AN98,Comparaison!$D$45)=0,IF(MOD(AN98,Comparaison!$D$45)=0,Comparaison!$D$374,0),IF(MOD(AM98,Comparaison!$D$45)=0,Comparaison!$D$46,0))</f>
        <v>0</v>
      </c>
      <c r="AM108" s="151">
        <f>IF(MOD(AO98,Comparaison!$D$45)=0,IF(MOD(AO98,Comparaison!$D$45)=0,Comparaison!$D$374,0),IF(MOD(AN98,Comparaison!$D$45)=0,Comparaison!$D$46,0))</f>
        <v>0</v>
      </c>
      <c r="AN108" s="247">
        <f>IF(MOD(AP98,Comparaison!$D$45)=0,IF(MOD(AP98,Comparaison!$D$45)=0,Comparaison!$D$374,0),IF(MOD(AO98,Comparaison!$D$45)=0,Comparaison!$D$46,0))</f>
        <v>0</v>
      </c>
    </row>
    <row r="109" spans="2:40" ht="15.75" thickTop="1" x14ac:dyDescent="0.25">
      <c r="B109" s="306"/>
      <c r="C109" s="152" t="s">
        <v>54</v>
      </c>
      <c r="D109" s="153">
        <f>IF(D98+0.5&lt;Comparaison!$D$45,SUM(D99:D108),)</f>
        <v>-35000</v>
      </c>
      <c r="E109" s="153">
        <f>IF(E98+0.5&lt;=Comparaison!$D$45,SUM(E99:E108),)</f>
        <v>-396.1</v>
      </c>
      <c r="F109" s="153">
        <f>IF(F98+0.5&lt;=Comparaison!$D$45,SUM(F99:F108),)</f>
        <v>-396.1</v>
      </c>
      <c r="G109" s="153">
        <f>IF(G98+0.5&lt;=Comparaison!$D$45,SUM(G99:G108),)</f>
        <v>-396.1</v>
      </c>
      <c r="H109" s="153">
        <f>IF(H98+0.5&lt;=Comparaison!$D$45,SUM(H99:H108),)</f>
        <v>-396.1</v>
      </c>
      <c r="I109" s="153">
        <f>IF(I98+0.5&lt;=Comparaison!$D$45,SUM(I99:I108),)</f>
        <v>-396.1</v>
      </c>
      <c r="J109" s="153">
        <f>IF(J98+0.5&lt;=Comparaison!$D$45,SUM(J99:J108),)</f>
        <v>-396.1</v>
      </c>
      <c r="K109" s="153">
        <f>IF(K98+0.5&lt;=Comparaison!$D$45,SUM(K99:K108),)</f>
        <v>-396.1</v>
      </c>
      <c r="L109" s="153">
        <f>IF(L98+0.5&lt;=Comparaison!$D$45,SUM(L99:L108),)</f>
        <v>-3896.1</v>
      </c>
      <c r="M109" s="153">
        <f>IF(M98+0.5&lt;=Comparaison!$D$45,SUM(M99:M108),)</f>
        <v>-396.1</v>
      </c>
      <c r="N109" s="153">
        <f>IF(N98+0.5&lt;=Comparaison!$D$45,SUM(N99:N108),)</f>
        <v>-396.1</v>
      </c>
      <c r="O109" s="153">
        <f>IF(O98+0.5&lt;=Comparaison!$D$45,SUM(O99:O108),)</f>
        <v>-396.1</v>
      </c>
      <c r="P109" s="153">
        <f>IF(P98+0.5&lt;=Comparaison!$D$45,SUM(P99:P108),)</f>
        <v>-396.1</v>
      </c>
      <c r="Q109" s="153">
        <f>IF(Q98+0.5&lt;=Comparaison!$D$45,SUM(Q99:Q108),)</f>
        <v>-396.1</v>
      </c>
      <c r="R109" s="153">
        <f>IF(R98+0.5&lt;=Comparaison!$D$45,SUM(R99:R108),)</f>
        <v>-396.1</v>
      </c>
      <c r="S109" s="153">
        <f>IF(S98+0.5&lt;=Comparaison!$D$45,SUM(S99:S108),)</f>
        <v>-396.1</v>
      </c>
      <c r="T109" s="153">
        <f>IF(T98+0.5&lt;=Comparaison!$D$45,SUM(T99:T108),)</f>
        <v>-3896.1</v>
      </c>
      <c r="U109" s="153">
        <f>IF(U98+0.5&lt;=Comparaison!$D$45,SUM(U99:U108),)</f>
        <v>-396.1</v>
      </c>
      <c r="V109" s="153">
        <f>IF(V98+0.5&lt;=Comparaison!$D$45,SUM(V99:V108),)</f>
        <v>-396.1</v>
      </c>
      <c r="W109" s="153">
        <f>IF(W98+0.5&lt;=Comparaison!$D$45,SUM(W99:W108),)</f>
        <v>-396.1</v>
      </c>
      <c r="X109" s="153">
        <f>IF(X98+0.5&lt;=Comparaison!$D$45,SUM(X99:X108),)</f>
        <v>-396.1</v>
      </c>
      <c r="Y109" s="153">
        <f>IF(Y98+0.5&lt;=Comparaison!$D$45,SUM(Y99:Y108),)</f>
        <v>-396.1</v>
      </c>
      <c r="Z109" s="153">
        <f>IF(Z98+0.5&lt;=Comparaison!$D$45,SUM(Z99:Z108),)</f>
        <v>-396.1</v>
      </c>
      <c r="AA109" s="153">
        <f>IF(AA98+0.5&lt;=Comparaison!$D$45,SUM(AA99:AA108),)</f>
        <v>2603.9</v>
      </c>
      <c r="AB109" s="153">
        <f>IF(AB98+0.5&lt;=Comparaison!$D$45,SUM(AB99:AB108),)</f>
        <v>0</v>
      </c>
      <c r="AC109" s="153">
        <f>IF(AC98+0.5&lt;=Comparaison!$D$45,SUM(AC99:AC108),)</f>
        <v>0</v>
      </c>
      <c r="AD109" s="153">
        <f>IF(AD98+0.5&lt;=Comparaison!$D$45,SUM(AD99:AD108),)</f>
        <v>0</v>
      </c>
      <c r="AE109" s="153">
        <f>IF(AE98+0.5&lt;=Comparaison!$D$45,SUM(AE99:AE108),)</f>
        <v>0</v>
      </c>
      <c r="AF109" s="153">
        <f>IF(AF98+0.5&lt;=Comparaison!$D$45,SUM(AF99:AF108),)</f>
        <v>0</v>
      </c>
      <c r="AG109" s="153">
        <f>IF(AG98+0.5&lt;=Comparaison!$D$45,SUM(AG99:AG108),)</f>
        <v>0</v>
      </c>
      <c r="AH109" s="153">
        <f>IF(AH98+0.5&lt;=Comparaison!$D$45,SUM(AH99:AH108),)</f>
        <v>0</v>
      </c>
      <c r="AI109" s="153">
        <f>IF(AI98+0.5&lt;=Comparaison!$D$45,SUM(AI99:AI108),)</f>
        <v>0</v>
      </c>
      <c r="AJ109" s="153">
        <f>IF(AJ98+0.5&lt;=Comparaison!$D$45,SUM(AJ99:AJ108),)</f>
        <v>0</v>
      </c>
      <c r="AK109" s="153">
        <f>IF(AK98+0.5&lt;=Comparaison!$D$45,SUM(AK99:AK108),)</f>
        <v>0</v>
      </c>
      <c r="AL109" s="153">
        <f>IF(AL98+0.5&lt;=Comparaison!$D$45,SUM(AL99:AL108),)</f>
        <v>0</v>
      </c>
      <c r="AM109" s="153">
        <f>IF(AM98+0.5&lt;=Comparaison!$D$45,SUM(AM99:AM108),)</f>
        <v>0</v>
      </c>
      <c r="AN109" s="154">
        <f>IF(AN98+0.5&lt;=Comparaison!$D$45,SUM(AN99:AN108),)</f>
        <v>0</v>
      </c>
    </row>
    <row r="110" spans="2:40" s="50" customFormat="1" hidden="1" x14ac:dyDescent="0.25">
      <c r="B110" s="306"/>
      <c r="C110" s="155" t="s">
        <v>64</v>
      </c>
      <c r="D110" s="156">
        <f>(1+Comparaison!$D$17)^0.5-1</f>
        <v>0</v>
      </c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8"/>
    </row>
    <row r="111" spans="2:40" s="50" customFormat="1" x14ac:dyDescent="0.25">
      <c r="B111" s="306"/>
      <c r="C111" s="140" t="s">
        <v>132</v>
      </c>
      <c r="D111" s="160">
        <f>D109+NPV(D110,E109:AN109)</f>
        <v>-48110.3</v>
      </c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8"/>
    </row>
    <row r="112" spans="2:40" s="50" customFormat="1" ht="15.75" thickBot="1" x14ac:dyDescent="0.3">
      <c r="B112" s="307"/>
      <c r="C112" s="144" t="s">
        <v>133</v>
      </c>
      <c r="D112" s="162">
        <f>PMT(Comparaison!$D$17,Comparaison!$D$45,D111,0)</f>
        <v>4009.1916666666671</v>
      </c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4"/>
    </row>
    <row r="113" spans="2:40" s="50" customFormat="1" ht="72.599999999999994" customHeight="1" x14ac:dyDescent="0.25">
      <c r="B113" s="180"/>
      <c r="C113" s="181"/>
      <c r="D113" s="253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</row>
    <row r="114" spans="2:40" s="50" customFormat="1" x14ac:dyDescent="0.25">
      <c r="B114" s="180"/>
      <c r="C114" s="312" t="s">
        <v>155</v>
      </c>
      <c r="D114" s="312"/>
      <c r="E114" s="312"/>
      <c r="F114" s="312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</row>
    <row r="115" spans="2:40" s="167" customFormat="1" ht="25.5" x14ac:dyDescent="0.25">
      <c r="C115" s="263" t="s">
        <v>158</v>
      </c>
      <c r="D115" s="254" t="s">
        <v>148</v>
      </c>
      <c r="E115" s="255" t="s">
        <v>149</v>
      </c>
      <c r="F115" s="255" t="s">
        <v>150</v>
      </c>
      <c r="G115" s="262" t="s">
        <v>156</v>
      </c>
      <c r="H115" s="262" t="s">
        <v>148</v>
      </c>
      <c r="I115" s="254" t="s">
        <v>157</v>
      </c>
    </row>
    <row r="116" spans="2:40" ht="5.45" customHeight="1" x14ac:dyDescent="0.25">
      <c r="C116" s="264" t="s">
        <v>159</v>
      </c>
      <c r="D116" s="260">
        <f>D117</f>
        <v>48000</v>
      </c>
      <c r="E116" s="261">
        <f t="shared" ref="E116:H116" si="17">E117</f>
        <v>17</v>
      </c>
      <c r="F116" s="261">
        <f t="shared" si="17"/>
        <v>28</v>
      </c>
      <c r="G116" s="260" t="str">
        <f t="shared" si="17"/>
        <v>MK3 E45</v>
      </c>
      <c r="H116" s="260">
        <f t="shared" si="17"/>
        <v>35000</v>
      </c>
    </row>
    <row r="117" spans="2:40" x14ac:dyDescent="0.25">
      <c r="C117" s="265" t="s">
        <v>143</v>
      </c>
      <c r="D117" s="266">
        <v>48000</v>
      </c>
      <c r="E117" s="267">
        <v>17</v>
      </c>
      <c r="F117" s="267">
        <v>28</v>
      </c>
      <c r="G117" s="260" t="s">
        <v>151</v>
      </c>
      <c r="H117" s="260">
        <v>35000</v>
      </c>
      <c r="I117" s="269" t="s">
        <v>147</v>
      </c>
    </row>
    <row r="118" spans="2:40" x14ac:dyDescent="0.25">
      <c r="C118" s="265" t="s">
        <v>142</v>
      </c>
      <c r="D118" s="266">
        <v>57000</v>
      </c>
      <c r="E118" s="267">
        <v>23</v>
      </c>
      <c r="F118" s="268">
        <f>E118*$F$117/$E$117</f>
        <v>37.882352941176471</v>
      </c>
      <c r="G118" s="260" t="s">
        <v>152</v>
      </c>
      <c r="H118" s="260">
        <v>40000</v>
      </c>
      <c r="I118" s="269" t="s">
        <v>145</v>
      </c>
    </row>
    <row r="119" spans="2:40" x14ac:dyDescent="0.25">
      <c r="C119" s="265" t="s">
        <v>141</v>
      </c>
      <c r="D119" s="266">
        <v>66000</v>
      </c>
      <c r="E119" s="267">
        <v>28</v>
      </c>
      <c r="F119" s="268">
        <f>E119*$F$117/$E$117</f>
        <v>46.117647058823529</v>
      </c>
      <c r="G119" s="260" t="s">
        <v>153</v>
      </c>
      <c r="H119" s="260">
        <v>45000</v>
      </c>
      <c r="I119" s="269" t="s">
        <v>146</v>
      </c>
    </row>
    <row r="120" spans="2:40" x14ac:dyDescent="0.25">
      <c r="C120" s="265" t="s">
        <v>140</v>
      </c>
      <c r="D120" s="266">
        <v>75000</v>
      </c>
      <c r="E120" s="267">
        <v>33</v>
      </c>
      <c r="F120" s="268">
        <f>E120*$F$117/$E$117</f>
        <v>54.352941176470587</v>
      </c>
      <c r="G120" s="260" t="s">
        <v>153</v>
      </c>
      <c r="H120" s="260">
        <v>50000</v>
      </c>
      <c r="I120" s="269" t="s">
        <v>144</v>
      </c>
    </row>
    <row r="122" spans="2:40" hidden="1" x14ac:dyDescent="0.25">
      <c r="C122" s="165" t="str">
        <f>Comparaison!C30</f>
        <v>Camion hors garantie de 5 ans ou 100 000 km</v>
      </c>
      <c r="D122" s="166"/>
      <c r="E122" s="1" t="s">
        <v>65</v>
      </c>
      <c r="P122" s="167"/>
    </row>
    <row r="123" spans="2:40" ht="15.75" hidden="1" thickBot="1" x14ac:dyDescent="0.3">
      <c r="C123" s="168" t="e">
        <f>Comparaison!#REF!</f>
        <v>#REF!</v>
      </c>
      <c r="D123" s="169"/>
      <c r="E123" s="170" t="e">
        <f>1-'Feuille de calcul'!C573/'Feuille de calcul'!$C$573</f>
        <v>#REF!</v>
      </c>
    </row>
    <row r="124" spans="2:40" hidden="1" x14ac:dyDescent="0.25">
      <c r="C124" s="171" t="str">
        <f>Comparaison!C25</f>
        <v>Valeur résiduelle du camion après 6 ans ($)</v>
      </c>
      <c r="D124" s="74">
        <f>Comparaison!D32</f>
        <v>0</v>
      </c>
    </row>
    <row r="125" spans="2:40" hidden="1" x14ac:dyDescent="0.25">
      <c r="C125" s="33"/>
      <c r="D125" s="29"/>
      <c r="E125" s="172"/>
    </row>
    <row r="126" spans="2:40" hidden="1" x14ac:dyDescent="0.25">
      <c r="C126" s="33" t="e">
        <f>Comparaison!#REF!</f>
        <v>#REF!</v>
      </c>
      <c r="D126" s="29">
        <f>Comparaison!D31-Comparaison!D44</f>
        <v>30000</v>
      </c>
    </row>
    <row r="127" spans="2:40" hidden="1" x14ac:dyDescent="0.25">
      <c r="C127" s="33" t="str">
        <f>Comparaison!C44</f>
        <v>Estimation $ de remplacement des batteries après 12 ans</v>
      </c>
      <c r="D127" s="29">
        <f>Comparaison!D44</f>
        <v>5000</v>
      </c>
    </row>
    <row r="128" spans="2:40" hidden="1" x14ac:dyDescent="0.25">
      <c r="C128" s="173" t="s">
        <v>66</v>
      </c>
      <c r="D128" s="29">
        <f>Comparaison!D35</f>
        <v>0</v>
      </c>
    </row>
    <row r="129" spans="2:40" hidden="1" x14ac:dyDescent="0.25">
      <c r="C129" s="33" t="str">
        <f>Comparaison!C37</f>
        <v>Coût de la réinstallation</v>
      </c>
      <c r="D129" s="29">
        <f>Comparaison!D37</f>
        <v>3500</v>
      </c>
    </row>
    <row r="130" spans="2:40" hidden="1" x14ac:dyDescent="0.25">
      <c r="C130" s="33" t="e">
        <f>Comparaison!#REF!</f>
        <v>#REF!</v>
      </c>
      <c r="D130" s="29" t="e">
        <f>Comparaison!#REF!</f>
        <v>#REF!</v>
      </c>
    </row>
    <row r="131" spans="2:40" hidden="1" x14ac:dyDescent="0.25">
      <c r="C131" s="33">
        <f>Comparaison!C38</f>
        <v>0</v>
      </c>
      <c r="D131" s="31">
        <f>Comparaison!D38</f>
        <v>0</v>
      </c>
      <c r="H131" s="174"/>
      <c r="K131" s="174"/>
      <c r="N131" s="174"/>
      <c r="Q131" s="174"/>
    </row>
    <row r="132" spans="2:40" hidden="1" x14ac:dyDescent="0.25">
      <c r="C132" s="33">
        <f>Comparaison!C35</f>
        <v>0</v>
      </c>
      <c r="D132" s="29">
        <f>Comparaison!D35</f>
        <v>0</v>
      </c>
    </row>
    <row r="133" spans="2:40" hidden="1" x14ac:dyDescent="0.25">
      <c r="C133" s="175">
        <f>Comparaison!C39</f>
        <v>0</v>
      </c>
      <c r="D133" s="32">
        <f>Comparaison!D39</f>
        <v>0</v>
      </c>
      <c r="H133" s="174"/>
      <c r="K133" s="174"/>
      <c r="N133" s="174"/>
      <c r="Q133" s="174"/>
    </row>
    <row r="134" spans="2:40" hidden="1" x14ac:dyDescent="0.25">
      <c r="C134" s="33" t="str">
        <f>Comparaison!C40</f>
        <v>Économies de maintenance</v>
      </c>
      <c r="D134" s="34">
        <f>Comparaison!D40</f>
        <v>0.54</v>
      </c>
      <c r="H134" s="174"/>
      <c r="K134" s="174"/>
      <c r="N134" s="174"/>
      <c r="Q134" s="174"/>
    </row>
    <row r="135" spans="2:40" hidden="1" x14ac:dyDescent="0.25">
      <c r="C135" s="33" t="str">
        <f>Comparaison!C41</f>
        <v>Consommation du véhicule (kWh / 100 km)</v>
      </c>
      <c r="D135" s="17">
        <f>Comparaison!D41</f>
        <v>28</v>
      </c>
      <c r="H135" s="174"/>
      <c r="K135" s="174"/>
      <c r="N135" s="174"/>
      <c r="Q135" s="174"/>
    </row>
    <row r="136" spans="2:40" hidden="1" x14ac:dyDescent="0.25">
      <c r="C136" s="33" t="str">
        <f>Comparaison!C45</f>
        <v>Durée de vie du groupe motopropulseur électrique (années)</v>
      </c>
      <c r="D136" s="17">
        <f>Comparaison!D45</f>
        <v>12</v>
      </c>
    </row>
    <row r="137" spans="2:40" hidden="1" x14ac:dyDescent="0.25">
      <c r="C137" s="33" t="str">
        <f>Comparaison!C43</f>
        <v>Durée de vie des batteries (années)</v>
      </c>
      <c r="D137" s="17">
        <f>Comparaison!D43</f>
        <v>12</v>
      </c>
    </row>
    <row r="138" spans="2:40" ht="15.75" hidden="1" thickBot="1" x14ac:dyDescent="0.3">
      <c r="C138" s="35" t="str">
        <f>Comparaison!C36</f>
        <v>Durée d'installation dans le véhicule (années)</v>
      </c>
      <c r="D138" s="36">
        <f>Comparaison!D36</f>
        <v>4</v>
      </c>
    </row>
    <row r="139" spans="2:40" hidden="1" x14ac:dyDescent="0.25"/>
    <row r="140" spans="2:40" ht="15.75" hidden="1" thickBot="1" x14ac:dyDescent="0.3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</row>
    <row r="141" spans="2:40" ht="15.75" hidden="1" thickBot="1" x14ac:dyDescent="0.3">
      <c r="B141" s="123"/>
      <c r="C141" s="302" t="s">
        <v>59</v>
      </c>
      <c r="D141" s="303"/>
      <c r="E141" s="303"/>
      <c r="F141" s="303"/>
      <c r="G141" s="303"/>
      <c r="H141" s="303"/>
      <c r="I141" s="303"/>
      <c r="J141" s="303"/>
      <c r="K141" s="303"/>
      <c r="L141" s="303"/>
      <c r="M141" s="303"/>
      <c r="N141" s="303"/>
      <c r="O141" s="303"/>
      <c r="P141" s="303"/>
      <c r="Q141" s="303"/>
      <c r="R141" s="303"/>
      <c r="S141" s="303"/>
      <c r="T141" s="303"/>
      <c r="U141" s="303"/>
      <c r="V141" s="303"/>
      <c r="W141" s="303"/>
      <c r="X141" s="303"/>
      <c r="Y141" s="303"/>
      <c r="Z141" s="303"/>
      <c r="AA141" s="303"/>
      <c r="AB141" s="303"/>
      <c r="AC141" s="303"/>
      <c r="AD141" s="303"/>
      <c r="AE141" s="303"/>
      <c r="AF141" s="303"/>
      <c r="AG141" s="303"/>
      <c r="AH141" s="303"/>
      <c r="AI141" s="303"/>
      <c r="AJ141" s="303"/>
      <c r="AK141" s="303"/>
      <c r="AL141" s="303"/>
      <c r="AM141" s="303"/>
      <c r="AN141" s="304"/>
    </row>
    <row r="142" spans="2:40" ht="15.75" hidden="1" customHeight="1" thickBot="1" x14ac:dyDescent="0.3">
      <c r="B142" s="305" t="s">
        <v>67</v>
      </c>
      <c r="C142" s="148" t="s">
        <v>49</v>
      </c>
      <c r="D142" s="126">
        <v>0</v>
      </c>
      <c r="E142" s="149">
        <f t="shared" ref="E142:AN142" si="18">D142+0.5</f>
        <v>0.5</v>
      </c>
      <c r="F142" s="149">
        <f t="shared" si="18"/>
        <v>1</v>
      </c>
      <c r="G142" s="149">
        <f t="shared" si="18"/>
        <v>1.5</v>
      </c>
      <c r="H142" s="149">
        <f t="shared" si="18"/>
        <v>2</v>
      </c>
      <c r="I142" s="149">
        <f t="shared" si="18"/>
        <v>2.5</v>
      </c>
      <c r="J142" s="149">
        <f t="shared" si="18"/>
        <v>3</v>
      </c>
      <c r="K142" s="149">
        <f t="shared" si="18"/>
        <v>3.5</v>
      </c>
      <c r="L142" s="149">
        <f t="shared" si="18"/>
        <v>4</v>
      </c>
      <c r="M142" s="149">
        <f t="shared" si="18"/>
        <v>4.5</v>
      </c>
      <c r="N142" s="149">
        <f t="shared" si="18"/>
        <v>5</v>
      </c>
      <c r="O142" s="149">
        <f t="shared" si="18"/>
        <v>5.5</v>
      </c>
      <c r="P142" s="149">
        <f t="shared" si="18"/>
        <v>6</v>
      </c>
      <c r="Q142" s="149">
        <f t="shared" si="18"/>
        <v>6.5</v>
      </c>
      <c r="R142" s="149">
        <f t="shared" si="18"/>
        <v>7</v>
      </c>
      <c r="S142" s="149">
        <f t="shared" si="18"/>
        <v>7.5</v>
      </c>
      <c r="T142" s="149">
        <f t="shared" si="18"/>
        <v>8</v>
      </c>
      <c r="U142" s="149">
        <f t="shared" si="18"/>
        <v>8.5</v>
      </c>
      <c r="V142" s="149">
        <f t="shared" si="18"/>
        <v>9</v>
      </c>
      <c r="W142" s="149">
        <f t="shared" si="18"/>
        <v>9.5</v>
      </c>
      <c r="X142" s="149">
        <f t="shared" si="18"/>
        <v>10</v>
      </c>
      <c r="Y142" s="149">
        <f t="shared" si="18"/>
        <v>10.5</v>
      </c>
      <c r="Z142" s="149">
        <f t="shared" si="18"/>
        <v>11</v>
      </c>
      <c r="AA142" s="149">
        <f t="shared" si="18"/>
        <v>11.5</v>
      </c>
      <c r="AB142" s="149">
        <f t="shared" si="18"/>
        <v>12</v>
      </c>
      <c r="AC142" s="149">
        <f t="shared" si="18"/>
        <v>12.5</v>
      </c>
      <c r="AD142" s="149">
        <f t="shared" si="18"/>
        <v>13</v>
      </c>
      <c r="AE142" s="149">
        <f t="shared" si="18"/>
        <v>13.5</v>
      </c>
      <c r="AF142" s="149">
        <f t="shared" si="18"/>
        <v>14</v>
      </c>
      <c r="AG142" s="149">
        <f t="shared" si="18"/>
        <v>14.5</v>
      </c>
      <c r="AH142" s="149">
        <f t="shared" si="18"/>
        <v>15</v>
      </c>
      <c r="AI142" s="149">
        <f t="shared" si="18"/>
        <v>15.5</v>
      </c>
      <c r="AJ142" s="149">
        <f t="shared" si="18"/>
        <v>16</v>
      </c>
      <c r="AK142" s="149">
        <f t="shared" si="18"/>
        <v>16.5</v>
      </c>
      <c r="AL142" s="149">
        <f t="shared" si="18"/>
        <v>17</v>
      </c>
      <c r="AM142" s="149">
        <f t="shared" si="18"/>
        <v>17.5</v>
      </c>
      <c r="AN142" s="150">
        <f t="shared" si="18"/>
        <v>18</v>
      </c>
    </row>
    <row r="143" spans="2:40" hidden="1" x14ac:dyDescent="0.25">
      <c r="B143" s="306"/>
      <c r="C143" s="133" t="s">
        <v>61</v>
      </c>
      <c r="D143" s="134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36"/>
    </row>
    <row r="144" spans="2:40" hidden="1" x14ac:dyDescent="0.25">
      <c r="B144" s="306"/>
      <c r="C144" s="133" t="s">
        <v>62</v>
      </c>
      <c r="D144" s="134" t="e">
        <f>-D160</f>
        <v>#REF!</v>
      </c>
      <c r="E144" s="151">
        <f>IF(MOD(E142,Comparaison!$D$45)=0,-$D160,0)</f>
        <v>0</v>
      </c>
      <c r="F144" s="151">
        <f>IF(MOD(F142,Comparaison!$D$45)=0,-$D160,0)</f>
        <v>0</v>
      </c>
      <c r="G144" s="151">
        <f>IF(MOD(G142,Comparaison!$D$45)=0,-$D160,0)</f>
        <v>0</v>
      </c>
      <c r="H144" s="151">
        <f>IF(MOD(H142,Comparaison!$D$45)=0,-$D160,0)</f>
        <v>0</v>
      </c>
      <c r="I144" s="151">
        <f>IF(MOD(I142,Comparaison!$D$45)=0,-$D160,0)</f>
        <v>0</v>
      </c>
      <c r="J144" s="151">
        <f>IF(MOD(J142,Comparaison!$D$45)=0,-$D160,0)</f>
        <v>0</v>
      </c>
      <c r="K144" s="151">
        <f>IF(MOD(K142,Comparaison!$D$45)=0,-$D160,0)</f>
        <v>0</v>
      </c>
      <c r="L144" s="151">
        <f>IF(MOD(L142,Comparaison!$D$45)=0,-$D160,0)</f>
        <v>0</v>
      </c>
      <c r="M144" s="151">
        <f>IF(MOD(M142,Comparaison!$D$45)=0,-$D160,0)</f>
        <v>0</v>
      </c>
      <c r="N144" s="151">
        <f>IF(MOD(N142,Comparaison!$D$45)=0,-$D160,0)</f>
        <v>0</v>
      </c>
      <c r="O144" s="151">
        <f>IF(MOD(O142,Comparaison!$D$45)=0,-$D160,0)</f>
        <v>0</v>
      </c>
      <c r="P144" s="151">
        <f>IF(MOD(P142,Comparaison!$D$45)=0,-$D160,0)</f>
        <v>0</v>
      </c>
      <c r="Q144" s="151">
        <f>IF(MOD(Q142,Comparaison!$D$45)=0,-$D160,0)</f>
        <v>0</v>
      </c>
      <c r="R144" s="151">
        <f>IF(MOD(R142,Comparaison!$D$45)=0,-$D160,0)</f>
        <v>0</v>
      </c>
      <c r="S144" s="151">
        <f>IF(MOD(S142,Comparaison!$D$45)=0,-$D160,0)</f>
        <v>0</v>
      </c>
      <c r="T144" s="151">
        <f>IF(MOD(T142,Comparaison!$D$45)=0,-$D160,0)</f>
        <v>0</v>
      </c>
      <c r="U144" s="151">
        <f>IF(MOD(U142,Comparaison!$D$45)=0,-$D160,0)</f>
        <v>0</v>
      </c>
      <c r="V144" s="151">
        <f>IF(MOD(V142,Comparaison!$D$45)=0,-$D160,0)</f>
        <v>0</v>
      </c>
      <c r="W144" s="151">
        <f>IF(MOD(W142,Comparaison!$D$45)=0,-$D160,0)</f>
        <v>0</v>
      </c>
      <c r="X144" s="151">
        <f>IF(MOD(X142,Comparaison!$D$45)=0,-$D160,0)</f>
        <v>0</v>
      </c>
      <c r="Y144" s="151">
        <f>IF(MOD(Y142,Comparaison!$D$45)=0,-$D160,0)</f>
        <v>0</v>
      </c>
      <c r="Z144" s="151">
        <f>IF(MOD(Z142,Comparaison!$D$45)=0,-$D160,0)</f>
        <v>0</v>
      </c>
      <c r="AA144" s="151">
        <f>IF(MOD(AA142,Comparaison!$D$45)=0,-$D160,0)</f>
        <v>0</v>
      </c>
      <c r="AB144" s="151" t="e">
        <f>IF(MOD(AB142,Comparaison!$D$45)=0,-$D160,0)</f>
        <v>#REF!</v>
      </c>
      <c r="AC144" s="151">
        <f>IF(MOD(AC142,Comparaison!$D$45)=0,-$D160,0)</f>
        <v>0</v>
      </c>
      <c r="AD144" s="151">
        <f>IF(MOD(AD142,Comparaison!$D$45)=0,-$D160,0)</f>
        <v>0</v>
      </c>
      <c r="AE144" s="151">
        <f>IF(MOD(AE142,Comparaison!$D$45)=0,-$D160,0)</f>
        <v>0</v>
      </c>
      <c r="AF144" s="151">
        <f>IF(MOD(AF142,Comparaison!$D$45)=0,-$D160,0)</f>
        <v>0</v>
      </c>
      <c r="AG144" s="151">
        <f>IF(MOD(AG142,Comparaison!$D$45)=0,-$D160,0)</f>
        <v>0</v>
      </c>
      <c r="AH144" s="151">
        <f>IF(MOD(AH142,Comparaison!$D$45)=0,-$D160,0)</f>
        <v>0</v>
      </c>
      <c r="AI144" s="151">
        <f>IF(MOD(AI142,Comparaison!$D$45)=0,-$D160,0)</f>
        <v>0</v>
      </c>
      <c r="AJ144" s="151">
        <f>IF(MOD(AJ142,Comparaison!$D$45)=0,-$D160,0)</f>
        <v>0</v>
      </c>
      <c r="AK144" s="151">
        <f>IF(MOD(AK142,Comparaison!$D$45)=0,-$D160,0)</f>
        <v>0</v>
      </c>
      <c r="AL144" s="151">
        <f>IF(MOD(AL142,Comparaison!$D$45)=0,-$D160,0)</f>
        <v>0</v>
      </c>
      <c r="AM144" s="151"/>
      <c r="AN144" s="136"/>
    </row>
    <row r="145" spans="2:40" hidden="1" x14ac:dyDescent="0.25">
      <c r="B145" s="306"/>
      <c r="C145" s="133" t="str">
        <f>C101</f>
        <v>Coût d'installation</v>
      </c>
      <c r="D145" s="134" t="e">
        <f>-$D162-$D159-$D163</f>
        <v>#REF!</v>
      </c>
      <c r="E145" s="151">
        <f t="shared" ref="E145:AL145" si="19">IF(MOD(E142,$D$138)=0,-$D162-$D159-$D163,0)</f>
        <v>0</v>
      </c>
      <c r="F145" s="151">
        <f t="shared" si="19"/>
        <v>0</v>
      </c>
      <c r="G145" s="151">
        <f t="shared" si="19"/>
        <v>0</v>
      </c>
      <c r="H145" s="151">
        <f t="shared" si="19"/>
        <v>0</v>
      </c>
      <c r="I145" s="151">
        <f t="shared" si="19"/>
        <v>0</v>
      </c>
      <c r="J145" s="151">
        <f t="shared" si="19"/>
        <v>0</v>
      </c>
      <c r="K145" s="151">
        <f t="shared" si="19"/>
        <v>0</v>
      </c>
      <c r="L145" s="151" t="e">
        <f t="shared" si="19"/>
        <v>#REF!</v>
      </c>
      <c r="M145" s="151">
        <f t="shared" si="19"/>
        <v>0</v>
      </c>
      <c r="N145" s="151">
        <f t="shared" si="19"/>
        <v>0</v>
      </c>
      <c r="O145" s="151">
        <f t="shared" si="19"/>
        <v>0</v>
      </c>
      <c r="P145" s="151">
        <f t="shared" si="19"/>
        <v>0</v>
      </c>
      <c r="Q145" s="151">
        <f t="shared" si="19"/>
        <v>0</v>
      </c>
      <c r="R145" s="151">
        <f t="shared" si="19"/>
        <v>0</v>
      </c>
      <c r="S145" s="151">
        <f t="shared" si="19"/>
        <v>0</v>
      </c>
      <c r="T145" s="151" t="e">
        <f t="shared" si="19"/>
        <v>#REF!</v>
      </c>
      <c r="U145" s="151">
        <f t="shared" si="19"/>
        <v>0</v>
      </c>
      <c r="V145" s="151">
        <f t="shared" si="19"/>
        <v>0</v>
      </c>
      <c r="W145" s="151">
        <f t="shared" si="19"/>
        <v>0</v>
      </c>
      <c r="X145" s="151">
        <f t="shared" si="19"/>
        <v>0</v>
      </c>
      <c r="Y145" s="151">
        <f t="shared" si="19"/>
        <v>0</v>
      </c>
      <c r="Z145" s="151">
        <f t="shared" si="19"/>
        <v>0</v>
      </c>
      <c r="AA145" s="151">
        <f t="shared" si="19"/>
        <v>0</v>
      </c>
      <c r="AB145" s="151" t="e">
        <f t="shared" si="19"/>
        <v>#REF!</v>
      </c>
      <c r="AC145" s="151">
        <f t="shared" si="19"/>
        <v>0</v>
      </c>
      <c r="AD145" s="151">
        <f t="shared" si="19"/>
        <v>0</v>
      </c>
      <c r="AE145" s="151">
        <f t="shared" si="19"/>
        <v>0</v>
      </c>
      <c r="AF145" s="151">
        <f t="shared" si="19"/>
        <v>0</v>
      </c>
      <c r="AG145" s="151">
        <f t="shared" si="19"/>
        <v>0</v>
      </c>
      <c r="AH145" s="151">
        <f t="shared" si="19"/>
        <v>0</v>
      </c>
      <c r="AI145" s="151">
        <f t="shared" si="19"/>
        <v>0</v>
      </c>
      <c r="AJ145" s="151" t="e">
        <f t="shared" si="19"/>
        <v>#REF!</v>
      </c>
      <c r="AK145" s="151">
        <f t="shared" si="19"/>
        <v>0</v>
      </c>
      <c r="AL145" s="151">
        <f t="shared" si="19"/>
        <v>0</v>
      </c>
      <c r="AM145" s="151"/>
      <c r="AN145" s="136"/>
    </row>
    <row r="146" spans="2:40" hidden="1" x14ac:dyDescent="0.25">
      <c r="B146" s="306"/>
      <c r="C146" s="133" t="s">
        <v>63</v>
      </c>
      <c r="D146" s="134" t="e">
        <f>-D161</f>
        <v>#REF!</v>
      </c>
      <c r="E146" s="151">
        <f t="shared" ref="E146:AL146" si="20">IF(MOD(E142,$D$137)=0,-$D161,0)</f>
        <v>0</v>
      </c>
      <c r="F146" s="151">
        <f t="shared" si="20"/>
        <v>0</v>
      </c>
      <c r="G146" s="151">
        <f t="shared" si="20"/>
        <v>0</v>
      </c>
      <c r="H146" s="151">
        <f t="shared" si="20"/>
        <v>0</v>
      </c>
      <c r="I146" s="151">
        <f t="shared" si="20"/>
        <v>0</v>
      </c>
      <c r="J146" s="151">
        <f t="shared" si="20"/>
        <v>0</v>
      </c>
      <c r="K146" s="151">
        <f t="shared" si="20"/>
        <v>0</v>
      </c>
      <c r="L146" s="151">
        <f t="shared" si="20"/>
        <v>0</v>
      </c>
      <c r="M146" s="151">
        <f t="shared" si="20"/>
        <v>0</v>
      </c>
      <c r="N146" s="151">
        <f t="shared" si="20"/>
        <v>0</v>
      </c>
      <c r="O146" s="151">
        <f t="shared" si="20"/>
        <v>0</v>
      </c>
      <c r="P146" s="151">
        <f t="shared" si="20"/>
        <v>0</v>
      </c>
      <c r="Q146" s="151">
        <f t="shared" si="20"/>
        <v>0</v>
      </c>
      <c r="R146" s="151">
        <f t="shared" si="20"/>
        <v>0</v>
      </c>
      <c r="S146" s="151">
        <f t="shared" si="20"/>
        <v>0</v>
      </c>
      <c r="T146" s="151">
        <f t="shared" si="20"/>
        <v>0</v>
      </c>
      <c r="U146" s="151">
        <f t="shared" si="20"/>
        <v>0</v>
      </c>
      <c r="V146" s="151">
        <f t="shared" si="20"/>
        <v>0</v>
      </c>
      <c r="W146" s="151">
        <f t="shared" si="20"/>
        <v>0</v>
      </c>
      <c r="X146" s="151">
        <f t="shared" si="20"/>
        <v>0</v>
      </c>
      <c r="Y146" s="151">
        <f t="shared" si="20"/>
        <v>0</v>
      </c>
      <c r="Z146" s="151">
        <f t="shared" si="20"/>
        <v>0</v>
      </c>
      <c r="AA146" s="151">
        <f t="shared" si="20"/>
        <v>0</v>
      </c>
      <c r="AB146" s="151" t="e">
        <f t="shared" si="20"/>
        <v>#REF!</v>
      </c>
      <c r="AC146" s="151">
        <f t="shared" si="20"/>
        <v>0</v>
      </c>
      <c r="AD146" s="151">
        <f t="shared" si="20"/>
        <v>0</v>
      </c>
      <c r="AE146" s="151">
        <f t="shared" si="20"/>
        <v>0</v>
      </c>
      <c r="AF146" s="151">
        <f t="shared" si="20"/>
        <v>0</v>
      </c>
      <c r="AG146" s="151">
        <f t="shared" si="20"/>
        <v>0</v>
      </c>
      <c r="AH146" s="151">
        <f t="shared" si="20"/>
        <v>0</v>
      </c>
      <c r="AI146" s="151">
        <f t="shared" si="20"/>
        <v>0</v>
      </c>
      <c r="AJ146" s="151">
        <f t="shared" si="20"/>
        <v>0</v>
      </c>
      <c r="AK146" s="151">
        <f t="shared" si="20"/>
        <v>0</v>
      </c>
      <c r="AL146" s="151">
        <f t="shared" si="20"/>
        <v>0</v>
      </c>
      <c r="AM146" s="151"/>
      <c r="AN146" s="136"/>
    </row>
    <row r="147" spans="2:40" hidden="1" x14ac:dyDescent="0.25">
      <c r="B147" s="306"/>
      <c r="C147" s="133"/>
      <c r="D147" s="134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36"/>
    </row>
    <row r="148" spans="2:40" hidden="1" x14ac:dyDescent="0.25">
      <c r="B148" s="306"/>
      <c r="C148" s="133" t="s">
        <v>68</v>
      </c>
      <c r="D148" s="134" t="e">
        <f>-D164</f>
        <v>#REF!</v>
      </c>
      <c r="E148" s="151">
        <f t="shared" ref="E148:AL148" si="21">IF(SUM(E144:E147)&lt;0, SUM(E144:E147)*0.2, 0)</f>
        <v>0</v>
      </c>
      <c r="F148" s="151">
        <f t="shared" si="21"/>
        <v>0</v>
      </c>
      <c r="G148" s="151">
        <f t="shared" si="21"/>
        <v>0</v>
      </c>
      <c r="H148" s="151">
        <f t="shared" si="21"/>
        <v>0</v>
      </c>
      <c r="I148" s="151">
        <f t="shared" si="21"/>
        <v>0</v>
      </c>
      <c r="J148" s="151">
        <f t="shared" si="21"/>
        <v>0</v>
      </c>
      <c r="K148" s="151">
        <f t="shared" si="21"/>
        <v>0</v>
      </c>
      <c r="L148" s="151" t="e">
        <f t="shared" si="21"/>
        <v>#REF!</v>
      </c>
      <c r="M148" s="151">
        <f t="shared" si="21"/>
        <v>0</v>
      </c>
      <c r="N148" s="151">
        <f t="shared" si="21"/>
        <v>0</v>
      </c>
      <c r="O148" s="151">
        <f t="shared" si="21"/>
        <v>0</v>
      </c>
      <c r="P148" s="151">
        <f t="shared" si="21"/>
        <v>0</v>
      </c>
      <c r="Q148" s="151">
        <f t="shared" si="21"/>
        <v>0</v>
      </c>
      <c r="R148" s="151">
        <f t="shared" si="21"/>
        <v>0</v>
      </c>
      <c r="S148" s="151">
        <f t="shared" si="21"/>
        <v>0</v>
      </c>
      <c r="T148" s="151" t="e">
        <f t="shared" si="21"/>
        <v>#REF!</v>
      </c>
      <c r="U148" s="151">
        <f t="shared" si="21"/>
        <v>0</v>
      </c>
      <c r="V148" s="151">
        <f t="shared" si="21"/>
        <v>0</v>
      </c>
      <c r="W148" s="151">
        <f t="shared" si="21"/>
        <v>0</v>
      </c>
      <c r="X148" s="151">
        <f t="shared" si="21"/>
        <v>0</v>
      </c>
      <c r="Y148" s="151">
        <f t="shared" si="21"/>
        <v>0</v>
      </c>
      <c r="Z148" s="151">
        <f t="shared" si="21"/>
        <v>0</v>
      </c>
      <c r="AA148" s="151">
        <f t="shared" si="21"/>
        <v>0</v>
      </c>
      <c r="AB148" s="151" t="e">
        <f t="shared" si="21"/>
        <v>#REF!</v>
      </c>
      <c r="AC148" s="151">
        <f t="shared" si="21"/>
        <v>0</v>
      </c>
      <c r="AD148" s="151">
        <f t="shared" si="21"/>
        <v>0</v>
      </c>
      <c r="AE148" s="151">
        <f t="shared" si="21"/>
        <v>0</v>
      </c>
      <c r="AF148" s="151">
        <f t="shared" si="21"/>
        <v>0</v>
      </c>
      <c r="AG148" s="151">
        <f t="shared" si="21"/>
        <v>0</v>
      </c>
      <c r="AH148" s="151">
        <f t="shared" si="21"/>
        <v>0</v>
      </c>
      <c r="AI148" s="151">
        <f t="shared" si="21"/>
        <v>0</v>
      </c>
      <c r="AJ148" s="151" t="e">
        <f t="shared" si="21"/>
        <v>#REF!</v>
      </c>
      <c r="AK148" s="151">
        <f t="shared" si="21"/>
        <v>0</v>
      </c>
      <c r="AL148" s="151">
        <f t="shared" si="21"/>
        <v>0</v>
      </c>
      <c r="AM148" s="151"/>
      <c r="AN148" s="136"/>
    </row>
    <row r="149" spans="2:40" hidden="1" x14ac:dyDescent="0.25">
      <c r="B149" s="306"/>
      <c r="C149" s="133" t="s">
        <v>58</v>
      </c>
      <c r="D149" s="134"/>
      <c r="E149" s="151">
        <f t="shared" ref="E149:AL149" si="22">-($D$45/100*$D$135*$D$47)/2</f>
        <v>-196.00000000000003</v>
      </c>
      <c r="F149" s="151">
        <f t="shared" si="22"/>
        <v>-196.00000000000003</v>
      </c>
      <c r="G149" s="151">
        <f t="shared" si="22"/>
        <v>-196.00000000000003</v>
      </c>
      <c r="H149" s="151">
        <f t="shared" si="22"/>
        <v>-196.00000000000003</v>
      </c>
      <c r="I149" s="151">
        <f t="shared" si="22"/>
        <v>-196.00000000000003</v>
      </c>
      <c r="J149" s="151">
        <f t="shared" si="22"/>
        <v>-196.00000000000003</v>
      </c>
      <c r="K149" s="151">
        <f t="shared" si="22"/>
        <v>-196.00000000000003</v>
      </c>
      <c r="L149" s="151">
        <f t="shared" si="22"/>
        <v>-196.00000000000003</v>
      </c>
      <c r="M149" s="151">
        <f t="shared" si="22"/>
        <v>-196.00000000000003</v>
      </c>
      <c r="N149" s="151">
        <f t="shared" si="22"/>
        <v>-196.00000000000003</v>
      </c>
      <c r="O149" s="151">
        <f t="shared" si="22"/>
        <v>-196.00000000000003</v>
      </c>
      <c r="P149" s="151">
        <f t="shared" si="22"/>
        <v>-196.00000000000003</v>
      </c>
      <c r="Q149" s="151">
        <f t="shared" si="22"/>
        <v>-196.00000000000003</v>
      </c>
      <c r="R149" s="151">
        <f t="shared" si="22"/>
        <v>-196.00000000000003</v>
      </c>
      <c r="S149" s="151">
        <f t="shared" si="22"/>
        <v>-196.00000000000003</v>
      </c>
      <c r="T149" s="151">
        <f t="shared" si="22"/>
        <v>-196.00000000000003</v>
      </c>
      <c r="U149" s="151">
        <f t="shared" si="22"/>
        <v>-196.00000000000003</v>
      </c>
      <c r="V149" s="151">
        <f t="shared" si="22"/>
        <v>-196.00000000000003</v>
      </c>
      <c r="W149" s="151">
        <f t="shared" si="22"/>
        <v>-196.00000000000003</v>
      </c>
      <c r="X149" s="151">
        <f t="shared" si="22"/>
        <v>-196.00000000000003</v>
      </c>
      <c r="Y149" s="151">
        <f t="shared" si="22"/>
        <v>-196.00000000000003</v>
      </c>
      <c r="Z149" s="151">
        <f t="shared" si="22"/>
        <v>-196.00000000000003</v>
      </c>
      <c r="AA149" s="151">
        <f t="shared" si="22"/>
        <v>-196.00000000000003</v>
      </c>
      <c r="AB149" s="151">
        <f t="shared" si="22"/>
        <v>-196.00000000000003</v>
      </c>
      <c r="AC149" s="151">
        <f t="shared" si="22"/>
        <v>-196.00000000000003</v>
      </c>
      <c r="AD149" s="151">
        <f t="shared" si="22"/>
        <v>-196.00000000000003</v>
      </c>
      <c r="AE149" s="151">
        <f t="shared" si="22"/>
        <v>-196.00000000000003</v>
      </c>
      <c r="AF149" s="151">
        <f t="shared" si="22"/>
        <v>-196.00000000000003</v>
      </c>
      <c r="AG149" s="151">
        <f t="shared" si="22"/>
        <v>-196.00000000000003</v>
      </c>
      <c r="AH149" s="151">
        <f t="shared" si="22"/>
        <v>-196.00000000000003</v>
      </c>
      <c r="AI149" s="151">
        <f t="shared" si="22"/>
        <v>-196.00000000000003</v>
      </c>
      <c r="AJ149" s="151">
        <f t="shared" si="22"/>
        <v>-196.00000000000003</v>
      </c>
      <c r="AK149" s="151">
        <f t="shared" si="22"/>
        <v>-196.00000000000003</v>
      </c>
      <c r="AL149" s="151">
        <f t="shared" si="22"/>
        <v>-196.00000000000003</v>
      </c>
      <c r="AM149" s="151"/>
      <c r="AN149" s="136"/>
    </row>
    <row r="150" spans="2:40" hidden="1" x14ac:dyDescent="0.25">
      <c r="B150" s="306"/>
      <c r="C150" s="133" t="s">
        <v>53</v>
      </c>
      <c r="D150" s="134"/>
      <c r="E150" s="151">
        <f t="shared" ref="E150:AL150" si="23">-($D$54*$D$45)*(1-$D$134)/2</f>
        <v>-200.09999999999997</v>
      </c>
      <c r="F150" s="151">
        <f t="shared" si="23"/>
        <v>-200.09999999999997</v>
      </c>
      <c r="G150" s="151">
        <f t="shared" si="23"/>
        <v>-200.09999999999997</v>
      </c>
      <c r="H150" s="151">
        <f t="shared" si="23"/>
        <v>-200.09999999999997</v>
      </c>
      <c r="I150" s="151">
        <f t="shared" si="23"/>
        <v>-200.09999999999997</v>
      </c>
      <c r="J150" s="151">
        <f t="shared" si="23"/>
        <v>-200.09999999999997</v>
      </c>
      <c r="K150" s="151">
        <f t="shared" si="23"/>
        <v>-200.09999999999997</v>
      </c>
      <c r="L150" s="151">
        <f t="shared" si="23"/>
        <v>-200.09999999999997</v>
      </c>
      <c r="M150" s="151">
        <f t="shared" si="23"/>
        <v>-200.09999999999997</v>
      </c>
      <c r="N150" s="151">
        <f t="shared" si="23"/>
        <v>-200.09999999999997</v>
      </c>
      <c r="O150" s="151">
        <f t="shared" si="23"/>
        <v>-200.09999999999997</v>
      </c>
      <c r="P150" s="151">
        <f t="shared" si="23"/>
        <v>-200.09999999999997</v>
      </c>
      <c r="Q150" s="151">
        <f t="shared" si="23"/>
        <v>-200.09999999999997</v>
      </c>
      <c r="R150" s="151">
        <f t="shared" si="23"/>
        <v>-200.09999999999997</v>
      </c>
      <c r="S150" s="151">
        <f t="shared" si="23"/>
        <v>-200.09999999999997</v>
      </c>
      <c r="T150" s="151">
        <f t="shared" si="23"/>
        <v>-200.09999999999997</v>
      </c>
      <c r="U150" s="151">
        <f t="shared" si="23"/>
        <v>-200.09999999999997</v>
      </c>
      <c r="V150" s="151">
        <f t="shared" si="23"/>
        <v>-200.09999999999997</v>
      </c>
      <c r="W150" s="151">
        <f t="shared" si="23"/>
        <v>-200.09999999999997</v>
      </c>
      <c r="X150" s="151">
        <f t="shared" si="23"/>
        <v>-200.09999999999997</v>
      </c>
      <c r="Y150" s="151">
        <f t="shared" si="23"/>
        <v>-200.09999999999997</v>
      </c>
      <c r="Z150" s="151">
        <f t="shared" si="23"/>
        <v>-200.09999999999997</v>
      </c>
      <c r="AA150" s="151">
        <f t="shared" si="23"/>
        <v>-200.09999999999997</v>
      </c>
      <c r="AB150" s="151">
        <f t="shared" si="23"/>
        <v>-200.09999999999997</v>
      </c>
      <c r="AC150" s="151">
        <f t="shared" si="23"/>
        <v>-200.09999999999997</v>
      </c>
      <c r="AD150" s="151">
        <f t="shared" si="23"/>
        <v>-200.09999999999997</v>
      </c>
      <c r="AE150" s="151">
        <f t="shared" si="23"/>
        <v>-200.09999999999997</v>
      </c>
      <c r="AF150" s="151">
        <f t="shared" si="23"/>
        <v>-200.09999999999997</v>
      </c>
      <c r="AG150" s="151">
        <f t="shared" si="23"/>
        <v>-200.09999999999997</v>
      </c>
      <c r="AH150" s="151">
        <f t="shared" si="23"/>
        <v>-200.09999999999997</v>
      </c>
      <c r="AI150" s="151">
        <f t="shared" si="23"/>
        <v>-200.09999999999997</v>
      </c>
      <c r="AJ150" s="151">
        <f t="shared" si="23"/>
        <v>-200.09999999999997</v>
      </c>
      <c r="AK150" s="151">
        <f t="shared" si="23"/>
        <v>-200.09999999999997</v>
      </c>
      <c r="AL150" s="151">
        <f t="shared" si="23"/>
        <v>-200.09999999999997</v>
      </c>
      <c r="AM150" s="151"/>
      <c r="AN150" s="136"/>
    </row>
    <row r="151" spans="2:40" hidden="1" x14ac:dyDescent="0.25">
      <c r="B151" s="306"/>
      <c r="C151" s="133">
        <f>$C$133</f>
        <v>0</v>
      </c>
      <c r="D151" s="134">
        <f>Comparaison!$D$39/6</f>
        <v>0</v>
      </c>
      <c r="E151" s="151">
        <f>Comparaison!$D$39/6</f>
        <v>0</v>
      </c>
      <c r="F151" s="134">
        <f>Comparaison!$D$39/6</f>
        <v>0</v>
      </c>
      <c r="G151" s="134">
        <f>Comparaison!$D$39/6</f>
        <v>0</v>
      </c>
      <c r="H151" s="134">
        <f>Comparaison!$D$39/6</f>
        <v>0</v>
      </c>
      <c r="I151" s="134">
        <f>Comparaison!$D$39/6</f>
        <v>0</v>
      </c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6"/>
    </row>
    <row r="152" spans="2:40" ht="15.75" hidden="1" customHeight="1" thickBot="1" x14ac:dyDescent="0.3">
      <c r="B152" s="306"/>
      <c r="C152" s="133" t="s">
        <v>48</v>
      </c>
      <c r="D152" s="134">
        <f>-D165</f>
        <v>0</v>
      </c>
      <c r="E152" s="151">
        <v>0</v>
      </c>
      <c r="F152" s="151">
        <v>0</v>
      </c>
      <c r="G152" s="134">
        <v>0</v>
      </c>
      <c r="H152" s="134">
        <v>0</v>
      </c>
      <c r="I152" s="134">
        <v>0</v>
      </c>
      <c r="J152" s="134">
        <v>0</v>
      </c>
      <c r="K152" s="134">
        <v>0</v>
      </c>
      <c r="L152" s="134">
        <v>0</v>
      </c>
      <c r="M152" s="134">
        <v>0</v>
      </c>
      <c r="N152" s="134">
        <v>0</v>
      </c>
      <c r="O152" s="134">
        <v>0</v>
      </c>
      <c r="P152" s="134">
        <v>0</v>
      </c>
      <c r="Q152" s="134">
        <v>0</v>
      </c>
      <c r="R152" s="134">
        <v>0</v>
      </c>
      <c r="S152" s="134">
        <v>0</v>
      </c>
      <c r="T152" s="134">
        <v>0</v>
      </c>
      <c r="U152" s="134">
        <v>0</v>
      </c>
      <c r="V152" s="134">
        <v>0</v>
      </c>
      <c r="W152" s="134">
        <v>0</v>
      </c>
      <c r="X152" s="134">
        <v>0</v>
      </c>
      <c r="Y152" s="134">
        <v>0</v>
      </c>
      <c r="Z152" s="134">
        <v>0</v>
      </c>
      <c r="AA152" s="134">
        <v>0</v>
      </c>
      <c r="AB152" s="134">
        <v>0</v>
      </c>
      <c r="AC152" s="134">
        <v>0</v>
      </c>
      <c r="AD152" s="134">
        <v>0</v>
      </c>
      <c r="AE152" s="134">
        <v>0</v>
      </c>
      <c r="AF152" s="134">
        <v>0</v>
      </c>
      <c r="AG152" s="134">
        <v>0</v>
      </c>
      <c r="AH152" s="134">
        <v>0</v>
      </c>
      <c r="AI152" s="134">
        <v>0</v>
      </c>
      <c r="AJ152" s="134">
        <v>0</v>
      </c>
      <c r="AK152" s="134">
        <v>0</v>
      </c>
      <c r="AL152" s="134">
        <v>0</v>
      </c>
      <c r="AM152" s="134"/>
      <c r="AN152" s="136"/>
    </row>
    <row r="153" spans="2:40" ht="15.75" hidden="1" thickTop="1" x14ac:dyDescent="0.25">
      <c r="B153" s="306"/>
      <c r="C153" s="152" t="s">
        <v>54</v>
      </c>
      <c r="D153" s="153" t="e">
        <f>IF(D142+0.5&lt;Comparaison!$D$45,SUM(D143:D152),)</f>
        <v>#REF!</v>
      </c>
      <c r="E153" s="153">
        <f>IF(E142+0.5&lt;=Comparaison!$D$45,SUM(E143:E152),)</f>
        <v>-396.1</v>
      </c>
      <c r="F153" s="153">
        <f>IF(F142+0.5&lt;=Comparaison!$D$45,SUM(F143:F152),)</f>
        <v>-396.1</v>
      </c>
      <c r="G153" s="153">
        <f>IF(G142+0.5&lt;=Comparaison!$D$45,SUM(G143:G152),)</f>
        <v>-396.1</v>
      </c>
      <c r="H153" s="153">
        <f>IF(H142+0.5&lt;=Comparaison!$D$45,SUM(H143:H152),)</f>
        <v>-396.1</v>
      </c>
      <c r="I153" s="153">
        <f>IF(I142+0.5&lt;=Comparaison!$D$45,SUM(I143:I152),)</f>
        <v>-396.1</v>
      </c>
      <c r="J153" s="153">
        <f>IF(J142+0.5&lt;=Comparaison!$D$45,SUM(J143:J152),)</f>
        <v>-396.1</v>
      </c>
      <c r="K153" s="153">
        <f>IF(K142+0.5&lt;=Comparaison!$D$45,SUM(K143:K152),)</f>
        <v>-396.1</v>
      </c>
      <c r="L153" s="153" t="e">
        <f>IF(L142+0.5&lt;=Comparaison!$D$45,SUM(L143:L152),)</f>
        <v>#REF!</v>
      </c>
      <c r="M153" s="153">
        <f>IF(M142+0.5&lt;=Comparaison!$D$45,SUM(M143:M152),)</f>
        <v>-396.1</v>
      </c>
      <c r="N153" s="153">
        <f>IF(N142+0.5&lt;=Comparaison!$D$45,SUM(N143:N152),)</f>
        <v>-396.1</v>
      </c>
      <c r="O153" s="153">
        <f>IF(O142+0.5&lt;=Comparaison!$D$45,SUM(O143:O152),)</f>
        <v>-396.1</v>
      </c>
      <c r="P153" s="153">
        <f>IF(P142+0.5&lt;=Comparaison!$D$45,SUM(P143:P152),)</f>
        <v>-396.1</v>
      </c>
      <c r="Q153" s="153">
        <f>IF(Q142+0.5&lt;=Comparaison!$D$45,SUM(Q143:Q152),)</f>
        <v>-396.1</v>
      </c>
      <c r="R153" s="153">
        <f>IF(R142+0.5&lt;=Comparaison!$D$45,SUM(R143:R152),)</f>
        <v>-396.1</v>
      </c>
      <c r="S153" s="153">
        <f>IF(S142+0.5&lt;=Comparaison!$D$45,SUM(S143:S152),)</f>
        <v>-396.1</v>
      </c>
      <c r="T153" s="153" t="e">
        <f>IF(T142+0.5&lt;=Comparaison!$D$45,SUM(T143:T152),)</f>
        <v>#REF!</v>
      </c>
      <c r="U153" s="153">
        <f>IF(U142+0.5&lt;=Comparaison!$D$45,SUM(U143:U152),)</f>
        <v>-396.1</v>
      </c>
      <c r="V153" s="153">
        <f>IF(V142+0.5&lt;=Comparaison!$D$45,SUM(V143:V152),)</f>
        <v>-396.1</v>
      </c>
      <c r="W153" s="153">
        <f>IF(W142+0.5&lt;=Comparaison!$D$45,SUM(W143:W152),)</f>
        <v>-396.1</v>
      </c>
      <c r="X153" s="153">
        <f>IF(X142+0.5&lt;=Comparaison!$D$45,SUM(X143:X152),)</f>
        <v>-396.1</v>
      </c>
      <c r="Y153" s="153">
        <f>IF(Y142+0.5&lt;=Comparaison!$D$45,SUM(Y143:Y152),)</f>
        <v>-396.1</v>
      </c>
      <c r="Z153" s="153">
        <f>IF(Z142+0.5&lt;=Comparaison!$D$45,SUM(Z143:Z152),)</f>
        <v>-396.1</v>
      </c>
      <c r="AA153" s="153">
        <f>IF(AA142+0.5&lt;=Comparaison!$D$45,SUM(AA143:AA152),)</f>
        <v>-396.1</v>
      </c>
      <c r="AB153" s="153">
        <f>IF(AB142+0.5&lt;=Comparaison!$D$45,SUM(AB143:AB152),)</f>
        <v>0</v>
      </c>
      <c r="AC153" s="153">
        <f>IF(AC142+0.5&lt;=Comparaison!$D$45,SUM(AC143:AC152),)</f>
        <v>0</v>
      </c>
      <c r="AD153" s="153">
        <f>IF(AD142+0.5&lt;=Comparaison!$D$45,SUM(AD143:AD152),)</f>
        <v>0</v>
      </c>
      <c r="AE153" s="153">
        <f>IF(AE142+0.5&lt;=Comparaison!$D$45,SUM(AE143:AE152),)</f>
        <v>0</v>
      </c>
      <c r="AF153" s="153">
        <f>IF(AF142+0.5&lt;=Comparaison!$D$45,SUM(AF143:AF152),)</f>
        <v>0</v>
      </c>
      <c r="AG153" s="153">
        <f>IF(AG142+0.5&lt;=Comparaison!$D$45,SUM(AG143:AG152),)</f>
        <v>0</v>
      </c>
      <c r="AH153" s="153">
        <f>IF(AH142+0.5&lt;=Comparaison!$D$45,SUM(AH143:AH152),)</f>
        <v>0</v>
      </c>
      <c r="AI153" s="153">
        <f>IF(AI142+0.5&lt;=Comparaison!$D$45,SUM(AI143:AI152),)</f>
        <v>0</v>
      </c>
      <c r="AJ153" s="153">
        <f>IF(AJ142+0.5&lt;=Comparaison!$D$45,SUM(AJ143:AJ152),)</f>
        <v>0</v>
      </c>
      <c r="AK153" s="153">
        <f>IF(AK142+0.5&lt;=Comparaison!$D$45,SUM(AK143:AK152),)</f>
        <v>0</v>
      </c>
      <c r="AL153" s="153">
        <f>IF(AL142+0.5&lt;=Comparaison!$D$45,SUM(AL143:AL152),)</f>
        <v>0</v>
      </c>
      <c r="AM153" s="153"/>
      <c r="AN153" s="154"/>
    </row>
    <row r="154" spans="2:40" s="50" customFormat="1" hidden="1" x14ac:dyDescent="0.25">
      <c r="B154" s="306"/>
      <c r="C154" s="155" t="s">
        <v>64</v>
      </c>
      <c r="D154" s="156">
        <f>(1+Comparaison!$D$17)^0.5-1</f>
        <v>0</v>
      </c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8"/>
    </row>
    <row r="155" spans="2:40" s="50" customFormat="1" hidden="1" x14ac:dyDescent="0.25">
      <c r="B155" s="306"/>
      <c r="C155" s="159" t="s">
        <v>55</v>
      </c>
      <c r="D155" s="160" t="e">
        <f>D153+NPV(D154,E153:AN153)</f>
        <v>#REF!</v>
      </c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8"/>
    </row>
    <row r="156" spans="2:40" s="50" customFormat="1" ht="15.75" hidden="1" thickBot="1" x14ac:dyDescent="0.3">
      <c r="B156" s="307"/>
      <c r="C156" s="161" t="s">
        <v>56</v>
      </c>
      <c r="D156" s="162" t="e">
        <f>PMT(Comparaison!$D$17,Comparaison!$D$45,D155,0)</f>
        <v>#REF!</v>
      </c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4"/>
    </row>
    <row r="157" spans="2:40" ht="15.75" hidden="1" thickBot="1" x14ac:dyDescent="0.3"/>
    <row r="158" spans="2:40" hidden="1" x14ac:dyDescent="0.25">
      <c r="C158" s="171" t="str">
        <f t="shared" ref="C158:C165" si="24">C124</f>
        <v>Valeur résiduelle du camion après 6 ans ($)</v>
      </c>
      <c r="D158" s="74" t="e">
        <f>#REF!</f>
        <v>#REF!</v>
      </c>
      <c r="E158" s="1" t="s">
        <v>69</v>
      </c>
    </row>
    <row r="159" spans="2:40" hidden="1" x14ac:dyDescent="0.25">
      <c r="C159" s="33">
        <f t="shared" si="24"/>
        <v>0</v>
      </c>
      <c r="D159" s="29" t="e">
        <f>D125*(1-E159)</f>
        <v>#REF!</v>
      </c>
      <c r="E159" s="176" t="e">
        <f>1-'Feuille de calcul'!C574/'Feuille de calcul'!$C$573</f>
        <v>#REF!</v>
      </c>
    </row>
    <row r="160" spans="2:40" hidden="1" x14ac:dyDescent="0.25">
      <c r="C160" s="33" t="e">
        <f t="shared" si="24"/>
        <v>#REF!</v>
      </c>
      <c r="D160" s="29" t="e">
        <f>D126*(1-$E$159)</f>
        <v>#REF!</v>
      </c>
    </row>
    <row r="161" spans="2:40" hidden="1" x14ac:dyDescent="0.25">
      <c r="C161" s="33" t="str">
        <f t="shared" si="24"/>
        <v>Estimation $ de remplacement des batteries après 12 ans</v>
      </c>
      <c r="D161" s="29" t="e">
        <f>D127*(1-$E$159)</f>
        <v>#REF!</v>
      </c>
    </row>
    <row r="162" spans="2:40" hidden="1" x14ac:dyDescent="0.25">
      <c r="C162" s="33" t="str">
        <f t="shared" si="24"/>
        <v xml:space="preserve">Costs of resettlement  </v>
      </c>
      <c r="D162" s="29" t="e">
        <f>D128*(1-$E$159)</f>
        <v>#REF!</v>
      </c>
      <c r="E162" s="177"/>
    </row>
    <row r="163" spans="2:40" ht="14.25" hidden="1" customHeight="1" x14ac:dyDescent="0.25">
      <c r="C163" s="33" t="str">
        <f t="shared" si="24"/>
        <v>Coût de la réinstallation</v>
      </c>
      <c r="D163" s="29" t="e">
        <f>D129*(1-$E$159)</f>
        <v>#REF!</v>
      </c>
    </row>
    <row r="164" spans="2:40" hidden="1" x14ac:dyDescent="0.25">
      <c r="C164" s="33" t="e">
        <f t="shared" si="24"/>
        <v>#REF!</v>
      </c>
      <c r="D164" s="29" t="e">
        <f>'Feuille de calcul'!D574</f>
        <v>#REF!</v>
      </c>
      <c r="G164" s="174"/>
    </row>
    <row r="165" spans="2:40" hidden="1" x14ac:dyDescent="0.25">
      <c r="C165" s="33">
        <f t="shared" si="24"/>
        <v>0</v>
      </c>
      <c r="D165" s="31">
        <f>'Feuille de calcul'!F574</f>
        <v>0</v>
      </c>
    </row>
    <row r="166" spans="2:40" hidden="1" x14ac:dyDescent="0.25"/>
    <row r="167" spans="2:40" ht="15.75" hidden="1" thickBot="1" x14ac:dyDescent="0.3"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</row>
    <row r="168" spans="2:40" ht="15.75" hidden="1" thickBot="1" x14ac:dyDescent="0.3">
      <c r="B168" s="123"/>
      <c r="C168" s="302" t="s">
        <v>59</v>
      </c>
      <c r="D168" s="303"/>
      <c r="E168" s="303"/>
      <c r="F168" s="303"/>
      <c r="G168" s="303"/>
      <c r="H168" s="303"/>
      <c r="I168" s="303"/>
      <c r="J168" s="303"/>
      <c r="K168" s="303"/>
      <c r="L168" s="303"/>
      <c r="M168" s="303"/>
      <c r="N168" s="303"/>
      <c r="O168" s="303"/>
      <c r="P168" s="303"/>
      <c r="Q168" s="303"/>
      <c r="R168" s="303"/>
      <c r="S168" s="303"/>
      <c r="T168" s="303"/>
      <c r="U168" s="303"/>
      <c r="V168" s="303"/>
      <c r="W168" s="303"/>
      <c r="X168" s="303"/>
      <c r="Y168" s="303"/>
      <c r="Z168" s="303"/>
      <c r="AA168" s="303"/>
      <c r="AB168" s="303"/>
      <c r="AC168" s="303"/>
      <c r="AD168" s="303"/>
      <c r="AE168" s="303"/>
      <c r="AF168" s="303"/>
      <c r="AG168" s="303"/>
      <c r="AH168" s="303"/>
      <c r="AI168" s="303"/>
      <c r="AJ168" s="303"/>
      <c r="AK168" s="303"/>
      <c r="AL168" s="303"/>
      <c r="AM168" s="303"/>
      <c r="AN168" s="304"/>
    </row>
    <row r="169" spans="2:40" ht="15.75" hidden="1" customHeight="1" thickBot="1" x14ac:dyDescent="0.3">
      <c r="B169" s="305" t="s">
        <v>70</v>
      </c>
      <c r="C169" s="148" t="s">
        <v>49</v>
      </c>
      <c r="D169" s="126">
        <v>0</v>
      </c>
      <c r="E169" s="149">
        <f t="shared" ref="E169:AN169" si="25">D169+0.5</f>
        <v>0.5</v>
      </c>
      <c r="F169" s="149">
        <f t="shared" si="25"/>
        <v>1</v>
      </c>
      <c r="G169" s="149">
        <f t="shared" si="25"/>
        <v>1.5</v>
      </c>
      <c r="H169" s="149">
        <f t="shared" si="25"/>
        <v>2</v>
      </c>
      <c r="I169" s="149">
        <f t="shared" si="25"/>
        <v>2.5</v>
      </c>
      <c r="J169" s="149">
        <f t="shared" si="25"/>
        <v>3</v>
      </c>
      <c r="K169" s="149">
        <f t="shared" si="25"/>
        <v>3.5</v>
      </c>
      <c r="L169" s="149">
        <f t="shared" si="25"/>
        <v>4</v>
      </c>
      <c r="M169" s="149">
        <f t="shared" si="25"/>
        <v>4.5</v>
      </c>
      <c r="N169" s="149">
        <f t="shared" si="25"/>
        <v>5</v>
      </c>
      <c r="O169" s="149">
        <f t="shared" si="25"/>
        <v>5.5</v>
      </c>
      <c r="P169" s="149">
        <f t="shared" si="25"/>
        <v>6</v>
      </c>
      <c r="Q169" s="149">
        <f t="shared" si="25"/>
        <v>6.5</v>
      </c>
      <c r="R169" s="149">
        <f t="shared" si="25"/>
        <v>7</v>
      </c>
      <c r="S169" s="149">
        <f t="shared" si="25"/>
        <v>7.5</v>
      </c>
      <c r="T169" s="149">
        <f t="shared" si="25"/>
        <v>8</v>
      </c>
      <c r="U169" s="149">
        <f t="shared" si="25"/>
        <v>8.5</v>
      </c>
      <c r="V169" s="149">
        <f t="shared" si="25"/>
        <v>9</v>
      </c>
      <c r="W169" s="149">
        <f t="shared" si="25"/>
        <v>9.5</v>
      </c>
      <c r="X169" s="149">
        <f t="shared" si="25"/>
        <v>10</v>
      </c>
      <c r="Y169" s="149">
        <f t="shared" si="25"/>
        <v>10.5</v>
      </c>
      <c r="Z169" s="149">
        <f t="shared" si="25"/>
        <v>11</v>
      </c>
      <c r="AA169" s="149">
        <f t="shared" si="25"/>
        <v>11.5</v>
      </c>
      <c r="AB169" s="149">
        <f t="shared" si="25"/>
        <v>12</v>
      </c>
      <c r="AC169" s="149">
        <f t="shared" si="25"/>
        <v>12.5</v>
      </c>
      <c r="AD169" s="149">
        <f t="shared" si="25"/>
        <v>13</v>
      </c>
      <c r="AE169" s="149">
        <f t="shared" si="25"/>
        <v>13.5</v>
      </c>
      <c r="AF169" s="149">
        <f t="shared" si="25"/>
        <v>14</v>
      </c>
      <c r="AG169" s="149">
        <f t="shared" si="25"/>
        <v>14.5</v>
      </c>
      <c r="AH169" s="149">
        <f t="shared" si="25"/>
        <v>15</v>
      </c>
      <c r="AI169" s="149">
        <f t="shared" si="25"/>
        <v>15.5</v>
      </c>
      <c r="AJ169" s="149">
        <f t="shared" si="25"/>
        <v>16</v>
      </c>
      <c r="AK169" s="149">
        <f t="shared" si="25"/>
        <v>16.5</v>
      </c>
      <c r="AL169" s="149">
        <f t="shared" si="25"/>
        <v>17</v>
      </c>
      <c r="AM169" s="149">
        <f t="shared" si="25"/>
        <v>17.5</v>
      </c>
      <c r="AN169" s="150">
        <f t="shared" si="25"/>
        <v>18</v>
      </c>
    </row>
    <row r="170" spans="2:40" hidden="1" x14ac:dyDescent="0.25">
      <c r="B170" s="306"/>
      <c r="C170" s="133" t="s">
        <v>61</v>
      </c>
      <c r="D170" s="134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36"/>
    </row>
    <row r="171" spans="2:40" hidden="1" x14ac:dyDescent="0.25">
      <c r="B171" s="306"/>
      <c r="C171" s="133" t="s">
        <v>62</v>
      </c>
      <c r="D171" s="134" t="e">
        <f>-D187</f>
        <v>#REF!</v>
      </c>
      <c r="E171" s="151">
        <f>IF(MOD(E169,Comparaison!$D$45)=0,-$D187,0)</f>
        <v>0</v>
      </c>
      <c r="F171" s="151">
        <f>IF(MOD(F169,Comparaison!$D$45)=0,-$D187,0)</f>
        <v>0</v>
      </c>
      <c r="G171" s="151">
        <f>IF(MOD(G169,Comparaison!$D$45)=0,-$D187,0)</f>
        <v>0</v>
      </c>
      <c r="H171" s="151">
        <f>IF(MOD(H169,Comparaison!$D$45)=0,-$D187,0)</f>
        <v>0</v>
      </c>
      <c r="I171" s="151">
        <f>IF(MOD(I169,Comparaison!$D$45)=0,-$D187,0)</f>
        <v>0</v>
      </c>
      <c r="J171" s="151">
        <f>IF(MOD(J169,Comparaison!$D$45)=0,-$D187,0)</f>
        <v>0</v>
      </c>
      <c r="K171" s="151">
        <f>IF(MOD(K169,Comparaison!$D$45)=0,-$D187,0)</f>
        <v>0</v>
      </c>
      <c r="L171" s="151">
        <f>IF(MOD(L169,Comparaison!$D$45)=0,-$D187,0)</f>
        <v>0</v>
      </c>
      <c r="M171" s="151">
        <f>IF(MOD(M169,Comparaison!$D$45)=0,-$D187,0)</f>
        <v>0</v>
      </c>
      <c r="N171" s="151">
        <f>IF(MOD(N169,Comparaison!$D$45)=0,-$D187,0)</f>
        <v>0</v>
      </c>
      <c r="O171" s="151">
        <f>IF(MOD(O169,Comparaison!$D$45)=0,-$D187,0)</f>
        <v>0</v>
      </c>
      <c r="P171" s="151">
        <f>IF(MOD(P169,Comparaison!$D$45)=0,-$D187,0)</f>
        <v>0</v>
      </c>
      <c r="Q171" s="151">
        <f>IF(MOD(Q169,Comparaison!$D$45)=0,-$D187,0)</f>
        <v>0</v>
      </c>
      <c r="R171" s="151">
        <f>IF(MOD(R169,Comparaison!$D$45)=0,-$D187,0)</f>
        <v>0</v>
      </c>
      <c r="S171" s="151">
        <f>IF(MOD(S169,Comparaison!$D$45)=0,-$D187,0)</f>
        <v>0</v>
      </c>
      <c r="T171" s="151">
        <f>IF(MOD(T169,Comparaison!$D$45)=0,-$D187,0)</f>
        <v>0</v>
      </c>
      <c r="U171" s="151">
        <f>IF(MOD(U169,Comparaison!$D$45)=0,-$D187,0)</f>
        <v>0</v>
      </c>
      <c r="V171" s="151">
        <f>IF(MOD(V169,Comparaison!$D$45)=0,-$D187,0)</f>
        <v>0</v>
      </c>
      <c r="W171" s="151">
        <f>IF(MOD(W169,Comparaison!$D$45)=0,-$D187,0)</f>
        <v>0</v>
      </c>
      <c r="X171" s="151">
        <f>IF(MOD(X169,Comparaison!$D$45)=0,-$D187,0)</f>
        <v>0</v>
      </c>
      <c r="Y171" s="151">
        <f>IF(MOD(Y169,Comparaison!$D$45)=0,-$D187,0)</f>
        <v>0</v>
      </c>
      <c r="Z171" s="151">
        <f>IF(MOD(Z169,Comparaison!$D$45)=0,-$D187,0)</f>
        <v>0</v>
      </c>
      <c r="AA171" s="151">
        <f>IF(MOD(AA169,Comparaison!$D$45)=0,-$D187,0)</f>
        <v>0</v>
      </c>
      <c r="AB171" s="151" t="e">
        <f>IF(MOD(AB169,Comparaison!$D$45)=0,-$D187,0)</f>
        <v>#REF!</v>
      </c>
      <c r="AC171" s="151">
        <f>IF(MOD(AC169,Comparaison!$D$45)=0,-$D187,0)</f>
        <v>0</v>
      </c>
      <c r="AD171" s="151">
        <f>IF(MOD(AD169,Comparaison!$D$45)=0,-$D187,0)</f>
        <v>0</v>
      </c>
      <c r="AE171" s="151">
        <f>IF(MOD(AE169,Comparaison!$D$45)=0,-$D187,0)</f>
        <v>0</v>
      </c>
      <c r="AF171" s="151">
        <f>IF(MOD(AF169,Comparaison!$D$45)=0,-$D187,0)</f>
        <v>0</v>
      </c>
      <c r="AG171" s="151">
        <f>IF(MOD(AG169,Comparaison!$D$45)=0,-$D187,0)</f>
        <v>0</v>
      </c>
      <c r="AH171" s="151">
        <f>IF(MOD(AH169,Comparaison!$D$45)=0,-$D187,0)</f>
        <v>0</v>
      </c>
      <c r="AI171" s="151">
        <f>IF(MOD(AI169,Comparaison!$D$45)=0,-$D187,0)</f>
        <v>0</v>
      </c>
      <c r="AJ171" s="151">
        <f>IF(MOD(AJ169,Comparaison!$D$45)=0,-$D187,0)</f>
        <v>0</v>
      </c>
      <c r="AK171" s="151">
        <f>IF(MOD(AK169,Comparaison!$D$45)=0,-$D187,0)</f>
        <v>0</v>
      </c>
      <c r="AL171" s="151">
        <f>IF(MOD(AL169,Comparaison!$D$45)=0,-$D187,0)</f>
        <v>0</v>
      </c>
      <c r="AM171" s="151"/>
      <c r="AN171" s="136"/>
    </row>
    <row r="172" spans="2:40" hidden="1" x14ac:dyDescent="0.25">
      <c r="B172" s="306"/>
      <c r="C172" s="133" t="s">
        <v>71</v>
      </c>
      <c r="D172" s="134" t="e">
        <f>-$D189-$D186-$D190</f>
        <v>#REF!</v>
      </c>
      <c r="E172" s="151">
        <f t="shared" ref="E172:AL172" si="26">IF(MOD(E169,$D$138)=0,-$D189-$D186-$D190,0)</f>
        <v>0</v>
      </c>
      <c r="F172" s="151">
        <f t="shared" si="26"/>
        <v>0</v>
      </c>
      <c r="G172" s="151">
        <f t="shared" si="26"/>
        <v>0</v>
      </c>
      <c r="H172" s="151">
        <f t="shared" si="26"/>
        <v>0</v>
      </c>
      <c r="I172" s="151">
        <f t="shared" si="26"/>
        <v>0</v>
      </c>
      <c r="J172" s="151">
        <f t="shared" si="26"/>
        <v>0</v>
      </c>
      <c r="K172" s="151">
        <f t="shared" si="26"/>
        <v>0</v>
      </c>
      <c r="L172" s="151" t="e">
        <f t="shared" si="26"/>
        <v>#REF!</v>
      </c>
      <c r="M172" s="151">
        <f t="shared" si="26"/>
        <v>0</v>
      </c>
      <c r="N172" s="151">
        <f t="shared" si="26"/>
        <v>0</v>
      </c>
      <c r="O172" s="151">
        <f t="shared" si="26"/>
        <v>0</v>
      </c>
      <c r="P172" s="151">
        <f t="shared" si="26"/>
        <v>0</v>
      </c>
      <c r="Q172" s="151">
        <f t="shared" si="26"/>
        <v>0</v>
      </c>
      <c r="R172" s="151">
        <f t="shared" si="26"/>
        <v>0</v>
      </c>
      <c r="S172" s="151">
        <f t="shared" si="26"/>
        <v>0</v>
      </c>
      <c r="T172" s="151" t="e">
        <f t="shared" si="26"/>
        <v>#REF!</v>
      </c>
      <c r="U172" s="151">
        <f t="shared" si="26"/>
        <v>0</v>
      </c>
      <c r="V172" s="151">
        <f t="shared" si="26"/>
        <v>0</v>
      </c>
      <c r="W172" s="151">
        <f t="shared" si="26"/>
        <v>0</v>
      </c>
      <c r="X172" s="151">
        <f t="shared" si="26"/>
        <v>0</v>
      </c>
      <c r="Y172" s="151">
        <f t="shared" si="26"/>
        <v>0</v>
      </c>
      <c r="Z172" s="151">
        <f t="shared" si="26"/>
        <v>0</v>
      </c>
      <c r="AA172" s="151">
        <f t="shared" si="26"/>
        <v>0</v>
      </c>
      <c r="AB172" s="151" t="e">
        <f t="shared" si="26"/>
        <v>#REF!</v>
      </c>
      <c r="AC172" s="151">
        <f t="shared" si="26"/>
        <v>0</v>
      </c>
      <c r="AD172" s="151">
        <f t="shared" si="26"/>
        <v>0</v>
      </c>
      <c r="AE172" s="151">
        <f t="shared" si="26"/>
        <v>0</v>
      </c>
      <c r="AF172" s="151">
        <f t="shared" si="26"/>
        <v>0</v>
      </c>
      <c r="AG172" s="151">
        <f t="shared" si="26"/>
        <v>0</v>
      </c>
      <c r="AH172" s="151">
        <f t="shared" si="26"/>
        <v>0</v>
      </c>
      <c r="AI172" s="151">
        <f t="shared" si="26"/>
        <v>0</v>
      </c>
      <c r="AJ172" s="151" t="e">
        <f t="shared" si="26"/>
        <v>#REF!</v>
      </c>
      <c r="AK172" s="151">
        <f t="shared" si="26"/>
        <v>0</v>
      </c>
      <c r="AL172" s="151">
        <f t="shared" si="26"/>
        <v>0</v>
      </c>
      <c r="AM172" s="151"/>
      <c r="AN172" s="136"/>
    </row>
    <row r="173" spans="2:40" hidden="1" x14ac:dyDescent="0.25">
      <c r="B173" s="306"/>
      <c r="C173" s="133" t="s">
        <v>63</v>
      </c>
      <c r="D173" s="134" t="e">
        <f>-D188</f>
        <v>#REF!</v>
      </c>
      <c r="E173" s="151">
        <f t="shared" ref="E173:AL173" si="27">IF(MOD(E169,$D$137)=0,-$D188,0)</f>
        <v>0</v>
      </c>
      <c r="F173" s="151">
        <f t="shared" si="27"/>
        <v>0</v>
      </c>
      <c r="G173" s="151">
        <f t="shared" si="27"/>
        <v>0</v>
      </c>
      <c r="H173" s="151">
        <f t="shared" si="27"/>
        <v>0</v>
      </c>
      <c r="I173" s="151">
        <f t="shared" si="27"/>
        <v>0</v>
      </c>
      <c r="J173" s="151">
        <f t="shared" si="27"/>
        <v>0</v>
      </c>
      <c r="K173" s="151">
        <f t="shared" si="27"/>
        <v>0</v>
      </c>
      <c r="L173" s="151">
        <f t="shared" si="27"/>
        <v>0</v>
      </c>
      <c r="M173" s="151">
        <f t="shared" si="27"/>
        <v>0</v>
      </c>
      <c r="N173" s="151">
        <f t="shared" si="27"/>
        <v>0</v>
      </c>
      <c r="O173" s="151">
        <f t="shared" si="27"/>
        <v>0</v>
      </c>
      <c r="P173" s="151">
        <f t="shared" si="27"/>
        <v>0</v>
      </c>
      <c r="Q173" s="151">
        <f t="shared" si="27"/>
        <v>0</v>
      </c>
      <c r="R173" s="151">
        <f t="shared" si="27"/>
        <v>0</v>
      </c>
      <c r="S173" s="151">
        <f t="shared" si="27"/>
        <v>0</v>
      </c>
      <c r="T173" s="151">
        <f t="shared" si="27"/>
        <v>0</v>
      </c>
      <c r="U173" s="151">
        <f t="shared" si="27"/>
        <v>0</v>
      </c>
      <c r="V173" s="151">
        <f t="shared" si="27"/>
        <v>0</v>
      </c>
      <c r="W173" s="151">
        <f t="shared" si="27"/>
        <v>0</v>
      </c>
      <c r="X173" s="151">
        <f t="shared" si="27"/>
        <v>0</v>
      </c>
      <c r="Y173" s="151">
        <f t="shared" si="27"/>
        <v>0</v>
      </c>
      <c r="Z173" s="151">
        <f t="shared" si="27"/>
        <v>0</v>
      </c>
      <c r="AA173" s="151">
        <f t="shared" si="27"/>
        <v>0</v>
      </c>
      <c r="AB173" s="151" t="e">
        <f t="shared" si="27"/>
        <v>#REF!</v>
      </c>
      <c r="AC173" s="151">
        <f t="shared" si="27"/>
        <v>0</v>
      </c>
      <c r="AD173" s="151">
        <f t="shared" si="27"/>
        <v>0</v>
      </c>
      <c r="AE173" s="151">
        <f t="shared" si="27"/>
        <v>0</v>
      </c>
      <c r="AF173" s="151">
        <f t="shared" si="27"/>
        <v>0</v>
      </c>
      <c r="AG173" s="151">
        <f t="shared" si="27"/>
        <v>0</v>
      </c>
      <c r="AH173" s="151">
        <f t="shared" si="27"/>
        <v>0</v>
      </c>
      <c r="AI173" s="151">
        <f t="shared" si="27"/>
        <v>0</v>
      </c>
      <c r="AJ173" s="151">
        <f t="shared" si="27"/>
        <v>0</v>
      </c>
      <c r="AK173" s="151">
        <f t="shared" si="27"/>
        <v>0</v>
      </c>
      <c r="AL173" s="151">
        <f t="shared" si="27"/>
        <v>0</v>
      </c>
      <c r="AM173" s="151"/>
      <c r="AN173" s="136"/>
    </row>
    <row r="174" spans="2:40" hidden="1" x14ac:dyDescent="0.25">
      <c r="B174" s="306"/>
      <c r="C174" s="133"/>
      <c r="D174" s="134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36"/>
    </row>
    <row r="175" spans="2:40" hidden="1" x14ac:dyDescent="0.25">
      <c r="B175" s="306"/>
      <c r="C175" s="133" t="s">
        <v>68</v>
      </c>
      <c r="D175" s="134" t="e">
        <f>-D191</f>
        <v>#REF!</v>
      </c>
      <c r="E175" s="151">
        <f t="shared" ref="E175:AL175" si="28">IF(SUM(E171:E174)&lt;0, SUM(E171:E174)*0.2, 0)</f>
        <v>0</v>
      </c>
      <c r="F175" s="151">
        <f t="shared" si="28"/>
        <v>0</v>
      </c>
      <c r="G175" s="151">
        <f t="shared" si="28"/>
        <v>0</v>
      </c>
      <c r="H175" s="151">
        <f t="shared" si="28"/>
        <v>0</v>
      </c>
      <c r="I175" s="151">
        <f t="shared" si="28"/>
        <v>0</v>
      </c>
      <c r="J175" s="151">
        <f t="shared" si="28"/>
        <v>0</v>
      </c>
      <c r="K175" s="151">
        <f t="shared" si="28"/>
        <v>0</v>
      </c>
      <c r="L175" s="151" t="e">
        <f t="shared" si="28"/>
        <v>#REF!</v>
      </c>
      <c r="M175" s="151">
        <f t="shared" si="28"/>
        <v>0</v>
      </c>
      <c r="N175" s="151">
        <f t="shared" si="28"/>
        <v>0</v>
      </c>
      <c r="O175" s="151">
        <f t="shared" si="28"/>
        <v>0</v>
      </c>
      <c r="P175" s="151">
        <f t="shared" si="28"/>
        <v>0</v>
      </c>
      <c r="Q175" s="151">
        <f t="shared" si="28"/>
        <v>0</v>
      </c>
      <c r="R175" s="151">
        <f t="shared" si="28"/>
        <v>0</v>
      </c>
      <c r="S175" s="151">
        <f t="shared" si="28"/>
        <v>0</v>
      </c>
      <c r="T175" s="151" t="e">
        <f t="shared" si="28"/>
        <v>#REF!</v>
      </c>
      <c r="U175" s="151">
        <f t="shared" si="28"/>
        <v>0</v>
      </c>
      <c r="V175" s="151">
        <f t="shared" si="28"/>
        <v>0</v>
      </c>
      <c r="W175" s="151">
        <f t="shared" si="28"/>
        <v>0</v>
      </c>
      <c r="X175" s="151">
        <f t="shared" si="28"/>
        <v>0</v>
      </c>
      <c r="Y175" s="151">
        <f t="shared" si="28"/>
        <v>0</v>
      </c>
      <c r="Z175" s="151">
        <f t="shared" si="28"/>
        <v>0</v>
      </c>
      <c r="AA175" s="151">
        <f t="shared" si="28"/>
        <v>0</v>
      </c>
      <c r="AB175" s="151" t="e">
        <f t="shared" si="28"/>
        <v>#REF!</v>
      </c>
      <c r="AC175" s="151">
        <f t="shared" si="28"/>
        <v>0</v>
      </c>
      <c r="AD175" s="151">
        <f t="shared" si="28"/>
        <v>0</v>
      </c>
      <c r="AE175" s="151">
        <f t="shared" si="28"/>
        <v>0</v>
      </c>
      <c r="AF175" s="151">
        <f t="shared" si="28"/>
        <v>0</v>
      </c>
      <c r="AG175" s="151">
        <f t="shared" si="28"/>
        <v>0</v>
      </c>
      <c r="AH175" s="151">
        <f t="shared" si="28"/>
        <v>0</v>
      </c>
      <c r="AI175" s="151">
        <f t="shared" si="28"/>
        <v>0</v>
      </c>
      <c r="AJ175" s="151" t="e">
        <f t="shared" si="28"/>
        <v>#REF!</v>
      </c>
      <c r="AK175" s="151">
        <f t="shared" si="28"/>
        <v>0</v>
      </c>
      <c r="AL175" s="151">
        <f t="shared" si="28"/>
        <v>0</v>
      </c>
      <c r="AM175" s="151"/>
      <c r="AN175" s="136"/>
    </row>
    <row r="176" spans="2:40" hidden="1" x14ac:dyDescent="0.25">
      <c r="B176" s="306"/>
      <c r="C176" s="133" t="s">
        <v>58</v>
      </c>
      <c r="D176" s="134"/>
      <c r="E176" s="151">
        <f t="shared" ref="E176:AL176" si="29">-($D$45/100*$D$135*$D$47)/2</f>
        <v>-196.00000000000003</v>
      </c>
      <c r="F176" s="151">
        <f t="shared" si="29"/>
        <v>-196.00000000000003</v>
      </c>
      <c r="G176" s="151">
        <f t="shared" si="29"/>
        <v>-196.00000000000003</v>
      </c>
      <c r="H176" s="151">
        <f t="shared" si="29"/>
        <v>-196.00000000000003</v>
      </c>
      <c r="I176" s="151">
        <f t="shared" si="29"/>
        <v>-196.00000000000003</v>
      </c>
      <c r="J176" s="151">
        <f t="shared" si="29"/>
        <v>-196.00000000000003</v>
      </c>
      <c r="K176" s="151">
        <f t="shared" si="29"/>
        <v>-196.00000000000003</v>
      </c>
      <c r="L176" s="151">
        <f t="shared" si="29"/>
        <v>-196.00000000000003</v>
      </c>
      <c r="M176" s="151">
        <f t="shared" si="29"/>
        <v>-196.00000000000003</v>
      </c>
      <c r="N176" s="151">
        <f t="shared" si="29"/>
        <v>-196.00000000000003</v>
      </c>
      <c r="O176" s="151">
        <f t="shared" si="29"/>
        <v>-196.00000000000003</v>
      </c>
      <c r="P176" s="151">
        <f t="shared" si="29"/>
        <v>-196.00000000000003</v>
      </c>
      <c r="Q176" s="151">
        <f t="shared" si="29"/>
        <v>-196.00000000000003</v>
      </c>
      <c r="R176" s="151">
        <f t="shared" si="29"/>
        <v>-196.00000000000003</v>
      </c>
      <c r="S176" s="151">
        <f t="shared" si="29"/>
        <v>-196.00000000000003</v>
      </c>
      <c r="T176" s="151">
        <f t="shared" si="29"/>
        <v>-196.00000000000003</v>
      </c>
      <c r="U176" s="151">
        <f t="shared" si="29"/>
        <v>-196.00000000000003</v>
      </c>
      <c r="V176" s="151">
        <f t="shared" si="29"/>
        <v>-196.00000000000003</v>
      </c>
      <c r="W176" s="151">
        <f t="shared" si="29"/>
        <v>-196.00000000000003</v>
      </c>
      <c r="X176" s="151">
        <f t="shared" si="29"/>
        <v>-196.00000000000003</v>
      </c>
      <c r="Y176" s="151">
        <f t="shared" si="29"/>
        <v>-196.00000000000003</v>
      </c>
      <c r="Z176" s="151">
        <f t="shared" si="29"/>
        <v>-196.00000000000003</v>
      </c>
      <c r="AA176" s="151">
        <f t="shared" si="29"/>
        <v>-196.00000000000003</v>
      </c>
      <c r="AB176" s="151">
        <f t="shared" si="29"/>
        <v>-196.00000000000003</v>
      </c>
      <c r="AC176" s="151">
        <f t="shared" si="29"/>
        <v>-196.00000000000003</v>
      </c>
      <c r="AD176" s="151">
        <f t="shared" si="29"/>
        <v>-196.00000000000003</v>
      </c>
      <c r="AE176" s="151">
        <f t="shared" si="29"/>
        <v>-196.00000000000003</v>
      </c>
      <c r="AF176" s="151">
        <f t="shared" si="29"/>
        <v>-196.00000000000003</v>
      </c>
      <c r="AG176" s="151">
        <f t="shared" si="29"/>
        <v>-196.00000000000003</v>
      </c>
      <c r="AH176" s="151">
        <f t="shared" si="29"/>
        <v>-196.00000000000003</v>
      </c>
      <c r="AI176" s="151">
        <f t="shared" si="29"/>
        <v>-196.00000000000003</v>
      </c>
      <c r="AJ176" s="151">
        <f t="shared" si="29"/>
        <v>-196.00000000000003</v>
      </c>
      <c r="AK176" s="151">
        <f t="shared" si="29"/>
        <v>-196.00000000000003</v>
      </c>
      <c r="AL176" s="151">
        <f t="shared" si="29"/>
        <v>-196.00000000000003</v>
      </c>
      <c r="AM176" s="151"/>
      <c r="AN176" s="136"/>
    </row>
    <row r="177" spans="2:40" hidden="1" x14ac:dyDescent="0.25">
      <c r="B177" s="306"/>
      <c r="C177" s="133" t="s">
        <v>53</v>
      </c>
      <c r="D177" s="134"/>
      <c r="E177" s="151">
        <f t="shared" ref="E177:AL177" si="30">-($D$54*$D$45)*(1-$D$134)/2</f>
        <v>-200.09999999999997</v>
      </c>
      <c r="F177" s="151">
        <f t="shared" si="30"/>
        <v>-200.09999999999997</v>
      </c>
      <c r="G177" s="151">
        <f t="shared" si="30"/>
        <v>-200.09999999999997</v>
      </c>
      <c r="H177" s="151">
        <f t="shared" si="30"/>
        <v>-200.09999999999997</v>
      </c>
      <c r="I177" s="151">
        <f t="shared" si="30"/>
        <v>-200.09999999999997</v>
      </c>
      <c r="J177" s="151">
        <f t="shared" si="30"/>
        <v>-200.09999999999997</v>
      </c>
      <c r="K177" s="151">
        <f t="shared" si="30"/>
        <v>-200.09999999999997</v>
      </c>
      <c r="L177" s="151">
        <f t="shared" si="30"/>
        <v>-200.09999999999997</v>
      </c>
      <c r="M177" s="151">
        <f t="shared" si="30"/>
        <v>-200.09999999999997</v>
      </c>
      <c r="N177" s="151">
        <f t="shared" si="30"/>
        <v>-200.09999999999997</v>
      </c>
      <c r="O177" s="151">
        <f t="shared" si="30"/>
        <v>-200.09999999999997</v>
      </c>
      <c r="P177" s="151">
        <f t="shared" si="30"/>
        <v>-200.09999999999997</v>
      </c>
      <c r="Q177" s="151">
        <f t="shared" si="30"/>
        <v>-200.09999999999997</v>
      </c>
      <c r="R177" s="151">
        <f t="shared" si="30"/>
        <v>-200.09999999999997</v>
      </c>
      <c r="S177" s="151">
        <f t="shared" si="30"/>
        <v>-200.09999999999997</v>
      </c>
      <c r="T177" s="151">
        <f t="shared" si="30"/>
        <v>-200.09999999999997</v>
      </c>
      <c r="U177" s="151">
        <f t="shared" si="30"/>
        <v>-200.09999999999997</v>
      </c>
      <c r="V177" s="151">
        <f t="shared" si="30"/>
        <v>-200.09999999999997</v>
      </c>
      <c r="W177" s="151">
        <f t="shared" si="30"/>
        <v>-200.09999999999997</v>
      </c>
      <c r="X177" s="151">
        <f t="shared" si="30"/>
        <v>-200.09999999999997</v>
      </c>
      <c r="Y177" s="151">
        <f t="shared" si="30"/>
        <v>-200.09999999999997</v>
      </c>
      <c r="Z177" s="151">
        <f t="shared" si="30"/>
        <v>-200.09999999999997</v>
      </c>
      <c r="AA177" s="151">
        <f t="shared" si="30"/>
        <v>-200.09999999999997</v>
      </c>
      <c r="AB177" s="151">
        <f t="shared" si="30"/>
        <v>-200.09999999999997</v>
      </c>
      <c r="AC177" s="151">
        <f t="shared" si="30"/>
        <v>-200.09999999999997</v>
      </c>
      <c r="AD177" s="151">
        <f t="shared" si="30"/>
        <v>-200.09999999999997</v>
      </c>
      <c r="AE177" s="151">
        <f t="shared" si="30"/>
        <v>-200.09999999999997</v>
      </c>
      <c r="AF177" s="151">
        <f t="shared" si="30"/>
        <v>-200.09999999999997</v>
      </c>
      <c r="AG177" s="151">
        <f t="shared" si="30"/>
        <v>-200.09999999999997</v>
      </c>
      <c r="AH177" s="151">
        <f t="shared" si="30"/>
        <v>-200.09999999999997</v>
      </c>
      <c r="AI177" s="151">
        <f t="shared" si="30"/>
        <v>-200.09999999999997</v>
      </c>
      <c r="AJ177" s="151">
        <f t="shared" si="30"/>
        <v>-200.09999999999997</v>
      </c>
      <c r="AK177" s="151">
        <f t="shared" si="30"/>
        <v>-200.09999999999997</v>
      </c>
      <c r="AL177" s="151">
        <f t="shared" si="30"/>
        <v>-200.09999999999997</v>
      </c>
      <c r="AM177" s="151"/>
      <c r="AN177" s="136"/>
    </row>
    <row r="178" spans="2:40" hidden="1" x14ac:dyDescent="0.25">
      <c r="B178" s="306"/>
      <c r="C178" s="133">
        <f>$C$133</f>
        <v>0</v>
      </c>
      <c r="D178" s="134">
        <f>Comparaison!$D$39/6</f>
        <v>0</v>
      </c>
      <c r="E178" s="151">
        <f>Comparaison!$D$39/6</f>
        <v>0</v>
      </c>
      <c r="F178" s="134">
        <f>Comparaison!$D$39/6</f>
        <v>0</v>
      </c>
      <c r="G178" s="134">
        <f>Comparaison!$D$39/6</f>
        <v>0</v>
      </c>
      <c r="H178" s="134">
        <f>Comparaison!$D$39/6</f>
        <v>0</v>
      </c>
      <c r="I178" s="134">
        <f>Comparaison!$D$39/6</f>
        <v>0</v>
      </c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6"/>
    </row>
    <row r="179" spans="2:40" ht="15.75" hidden="1" customHeight="1" thickBot="1" x14ac:dyDescent="0.3">
      <c r="B179" s="306"/>
      <c r="C179" s="133" t="s">
        <v>48</v>
      </c>
      <c r="D179" s="134">
        <f>-D192</f>
        <v>0</v>
      </c>
      <c r="E179" s="151">
        <v>0</v>
      </c>
      <c r="F179" s="151">
        <v>0</v>
      </c>
      <c r="G179" s="134">
        <v>0</v>
      </c>
      <c r="H179" s="134">
        <v>0</v>
      </c>
      <c r="I179" s="134">
        <v>0</v>
      </c>
      <c r="J179" s="134">
        <v>0</v>
      </c>
      <c r="K179" s="134">
        <v>0</v>
      </c>
      <c r="L179" s="134">
        <v>0</v>
      </c>
      <c r="M179" s="134">
        <v>0</v>
      </c>
      <c r="N179" s="134">
        <v>0</v>
      </c>
      <c r="O179" s="134">
        <v>0</v>
      </c>
      <c r="P179" s="134">
        <v>0</v>
      </c>
      <c r="Q179" s="134">
        <v>0</v>
      </c>
      <c r="R179" s="134">
        <v>0</v>
      </c>
      <c r="S179" s="134">
        <v>0</v>
      </c>
      <c r="T179" s="134">
        <v>0</v>
      </c>
      <c r="U179" s="134">
        <v>0</v>
      </c>
      <c r="V179" s="134">
        <v>0</v>
      </c>
      <c r="W179" s="134">
        <v>0</v>
      </c>
      <c r="X179" s="134">
        <v>0</v>
      </c>
      <c r="Y179" s="134">
        <v>0</v>
      </c>
      <c r="Z179" s="134">
        <v>0</v>
      </c>
      <c r="AA179" s="134">
        <v>0</v>
      </c>
      <c r="AB179" s="134">
        <v>0</v>
      </c>
      <c r="AC179" s="134">
        <v>0</v>
      </c>
      <c r="AD179" s="134">
        <v>0</v>
      </c>
      <c r="AE179" s="134">
        <v>0</v>
      </c>
      <c r="AF179" s="134">
        <v>0</v>
      </c>
      <c r="AG179" s="134">
        <v>0</v>
      </c>
      <c r="AH179" s="134">
        <v>0</v>
      </c>
      <c r="AI179" s="134">
        <v>0</v>
      </c>
      <c r="AJ179" s="134">
        <v>0</v>
      </c>
      <c r="AK179" s="134">
        <v>0</v>
      </c>
      <c r="AL179" s="134">
        <v>0</v>
      </c>
      <c r="AM179" s="134"/>
      <c r="AN179" s="136"/>
    </row>
    <row r="180" spans="2:40" ht="15.75" hidden="1" thickTop="1" x14ac:dyDescent="0.25">
      <c r="B180" s="306"/>
      <c r="C180" s="152" t="s">
        <v>54</v>
      </c>
      <c r="D180" s="153" t="e">
        <f>IF(D169+0.5&lt;Comparaison!$D$45,SUM(D170:D179),)</f>
        <v>#REF!</v>
      </c>
      <c r="E180" s="153">
        <f>IF(E169+0.5&lt;=Comparaison!$D$45,SUM(E170:E179),)</f>
        <v>-396.1</v>
      </c>
      <c r="F180" s="153">
        <f>IF(F169+0.5&lt;=Comparaison!$D$45,SUM(F170:F179),)</f>
        <v>-396.1</v>
      </c>
      <c r="G180" s="153">
        <f>IF(G169+0.5&lt;=Comparaison!$D$45,SUM(G170:G179),)</f>
        <v>-396.1</v>
      </c>
      <c r="H180" s="153">
        <f>IF(H169+0.5&lt;=Comparaison!$D$45,SUM(H170:H179),)</f>
        <v>-396.1</v>
      </c>
      <c r="I180" s="153">
        <f>IF(I169+0.5&lt;=Comparaison!$D$45,SUM(I170:I179),)</f>
        <v>-396.1</v>
      </c>
      <c r="J180" s="153">
        <f>IF(J169+0.5&lt;=Comparaison!$D$45,SUM(J170:J179),)</f>
        <v>-396.1</v>
      </c>
      <c r="K180" s="153">
        <f>IF(K169+0.5&lt;=Comparaison!$D$45,SUM(K170:K179),)</f>
        <v>-396.1</v>
      </c>
      <c r="L180" s="153" t="e">
        <f>IF(L169+0.5&lt;=Comparaison!$D$45,SUM(L170:L179),)</f>
        <v>#REF!</v>
      </c>
      <c r="M180" s="153">
        <f>IF(M169+0.5&lt;=Comparaison!$D$45,SUM(M170:M179),)</f>
        <v>-396.1</v>
      </c>
      <c r="N180" s="153">
        <f>IF(N169+0.5&lt;=Comparaison!$D$45,SUM(N170:N179),)</f>
        <v>-396.1</v>
      </c>
      <c r="O180" s="153">
        <f>IF(O169+0.5&lt;=Comparaison!$D$45,SUM(O170:O179),)</f>
        <v>-396.1</v>
      </c>
      <c r="P180" s="153">
        <f>IF(P169+0.5&lt;=Comparaison!$D$45,SUM(P170:P179),)</f>
        <v>-396.1</v>
      </c>
      <c r="Q180" s="153">
        <f>IF(Q169+0.5&lt;=Comparaison!$D$45,SUM(Q170:Q179),)</f>
        <v>-396.1</v>
      </c>
      <c r="R180" s="153">
        <f>IF(R169+0.5&lt;=Comparaison!$D$45,SUM(R170:R179),)</f>
        <v>-396.1</v>
      </c>
      <c r="S180" s="153">
        <f>IF(S169+0.5&lt;=Comparaison!$D$45,SUM(S170:S179),)</f>
        <v>-396.1</v>
      </c>
      <c r="T180" s="153" t="e">
        <f>IF(T169+0.5&lt;=Comparaison!$D$45,SUM(T170:T179),)</f>
        <v>#REF!</v>
      </c>
      <c r="U180" s="153">
        <f>IF(U169+0.5&lt;=Comparaison!$D$45,SUM(U170:U179),)</f>
        <v>-396.1</v>
      </c>
      <c r="V180" s="153">
        <f>IF(V169+0.5&lt;=Comparaison!$D$45,SUM(V170:V179),)</f>
        <v>-396.1</v>
      </c>
      <c r="W180" s="153">
        <f>IF(W169+0.5&lt;=Comparaison!$D$45,SUM(W170:W179),)</f>
        <v>-396.1</v>
      </c>
      <c r="X180" s="153">
        <f>IF(X169+0.5&lt;=Comparaison!$D$45,SUM(X170:X179),)</f>
        <v>-396.1</v>
      </c>
      <c r="Y180" s="153">
        <f>IF(Y169+0.5&lt;=Comparaison!$D$45,SUM(Y170:Y179),)</f>
        <v>-396.1</v>
      </c>
      <c r="Z180" s="153">
        <f>IF(Z169+0.5&lt;=Comparaison!$D$45,SUM(Z170:Z179),)</f>
        <v>-396.1</v>
      </c>
      <c r="AA180" s="153">
        <f>IF(AA169+0.5&lt;=Comparaison!$D$45,SUM(AA170:AA179),)</f>
        <v>-396.1</v>
      </c>
      <c r="AB180" s="153">
        <f>IF(AB169+0.5&lt;=Comparaison!$D$45,SUM(AB170:AB179),)</f>
        <v>0</v>
      </c>
      <c r="AC180" s="153">
        <f>IF(AC169+0.5&lt;=Comparaison!$D$45,SUM(AC170:AC179),)</f>
        <v>0</v>
      </c>
      <c r="AD180" s="153">
        <f>IF(AD169+0.5&lt;=Comparaison!$D$45,SUM(AD170:AD179),)</f>
        <v>0</v>
      </c>
      <c r="AE180" s="153">
        <f>IF(AE169+0.5&lt;=Comparaison!$D$45,SUM(AE170:AE179),)</f>
        <v>0</v>
      </c>
      <c r="AF180" s="153">
        <f>IF(AF169+0.5&lt;=Comparaison!$D$45,SUM(AF170:AF179),)</f>
        <v>0</v>
      </c>
      <c r="AG180" s="153">
        <f>IF(AG169+0.5&lt;=Comparaison!$D$45,SUM(AG170:AG179),)</f>
        <v>0</v>
      </c>
      <c r="AH180" s="153">
        <f>IF(AH169+0.5&lt;=Comparaison!$D$45,SUM(AH170:AH179),)</f>
        <v>0</v>
      </c>
      <c r="AI180" s="153">
        <f>IF(AI169+0.5&lt;=Comparaison!$D$45,SUM(AI170:AI179),)</f>
        <v>0</v>
      </c>
      <c r="AJ180" s="153">
        <f>IF(AJ169+0.5&lt;=Comparaison!$D$45,SUM(AJ170:AJ179),)</f>
        <v>0</v>
      </c>
      <c r="AK180" s="153">
        <f>IF(AK169+0.5&lt;=Comparaison!$D$45,SUM(AK170:AK179),)</f>
        <v>0</v>
      </c>
      <c r="AL180" s="153">
        <f>IF(AL169+0.5&lt;=Comparaison!$D$45,SUM(AL170:AL179),)</f>
        <v>0</v>
      </c>
      <c r="AM180" s="153"/>
      <c r="AN180" s="154"/>
    </row>
    <row r="181" spans="2:40" s="50" customFormat="1" hidden="1" x14ac:dyDescent="0.25">
      <c r="B181" s="306"/>
      <c r="C181" s="155" t="s">
        <v>64</v>
      </c>
      <c r="D181" s="156">
        <f>(1+Comparaison!$D$17)^0.5-1</f>
        <v>0</v>
      </c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8"/>
    </row>
    <row r="182" spans="2:40" s="50" customFormat="1" hidden="1" x14ac:dyDescent="0.25">
      <c r="B182" s="306"/>
      <c r="C182" s="159" t="s">
        <v>55</v>
      </c>
      <c r="D182" s="160" t="e">
        <f>D180+NPV(D181,E180:AN180)</f>
        <v>#REF!</v>
      </c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8"/>
    </row>
    <row r="183" spans="2:40" s="50" customFormat="1" ht="15.75" hidden="1" thickBot="1" x14ac:dyDescent="0.3">
      <c r="B183" s="307"/>
      <c r="C183" s="161" t="s">
        <v>56</v>
      </c>
      <c r="D183" s="162" t="e">
        <f>PMT(Comparaison!$D$17,Comparaison!$D$45,D182,0)</f>
        <v>#REF!</v>
      </c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4"/>
    </row>
    <row r="184" spans="2:40" ht="15.75" hidden="1" thickBot="1" x14ac:dyDescent="0.3"/>
    <row r="185" spans="2:40" hidden="1" x14ac:dyDescent="0.25">
      <c r="C185" s="171" t="str">
        <f t="shared" ref="C185:C192" si="31">C158</f>
        <v>Valeur résiduelle du camion après 6 ans ($)</v>
      </c>
      <c r="D185" s="74" t="e">
        <f>#REF!</f>
        <v>#REF!</v>
      </c>
      <c r="E185" s="174" t="s">
        <v>69</v>
      </c>
    </row>
    <row r="186" spans="2:40" hidden="1" x14ac:dyDescent="0.25">
      <c r="C186" s="33">
        <f t="shared" si="31"/>
        <v>0</v>
      </c>
      <c r="D186" s="29" t="e">
        <f>D125*(1-E186)</f>
        <v>#REF!</v>
      </c>
      <c r="E186" s="178" t="e">
        <f>1-'Feuille de calcul'!C575/'Feuille de calcul'!$C$573</f>
        <v>#REF!</v>
      </c>
    </row>
    <row r="187" spans="2:40" hidden="1" x14ac:dyDescent="0.25">
      <c r="C187" s="33" t="e">
        <f t="shared" si="31"/>
        <v>#REF!</v>
      </c>
      <c r="D187" s="29" t="e">
        <f>D126*(1-$E$186)</f>
        <v>#REF!</v>
      </c>
    </row>
    <row r="188" spans="2:40" hidden="1" x14ac:dyDescent="0.25">
      <c r="C188" s="33" t="str">
        <f t="shared" si="31"/>
        <v>Estimation $ de remplacement des batteries après 12 ans</v>
      </c>
      <c r="D188" s="29" t="e">
        <f>D127*(1-$E$186)</f>
        <v>#REF!</v>
      </c>
    </row>
    <row r="189" spans="2:40" hidden="1" x14ac:dyDescent="0.25">
      <c r="C189" s="33" t="str">
        <f t="shared" si="31"/>
        <v xml:space="preserve">Costs of resettlement  </v>
      </c>
      <c r="D189" s="29" t="e">
        <f>D128*(1-$E$186)</f>
        <v>#REF!</v>
      </c>
    </row>
    <row r="190" spans="2:40" hidden="1" x14ac:dyDescent="0.25">
      <c r="C190" s="33" t="str">
        <f t="shared" si="31"/>
        <v>Coût de la réinstallation</v>
      </c>
      <c r="D190" s="29" t="e">
        <f>D129*(1-$E$186)</f>
        <v>#REF!</v>
      </c>
    </row>
    <row r="191" spans="2:40" hidden="1" x14ac:dyDescent="0.25">
      <c r="C191" s="33" t="e">
        <f t="shared" si="31"/>
        <v>#REF!</v>
      </c>
      <c r="D191" s="29" t="e">
        <f>'Feuille de calcul'!D575</f>
        <v>#REF!</v>
      </c>
    </row>
    <row r="192" spans="2:40" hidden="1" x14ac:dyDescent="0.25">
      <c r="C192" s="33">
        <f t="shared" si="31"/>
        <v>0</v>
      </c>
      <c r="D192" s="31">
        <f>'Feuille de calcul'!F575</f>
        <v>0</v>
      </c>
      <c r="F192" s="174"/>
      <c r="G192" s="174"/>
    </row>
    <row r="193" spans="2:40" hidden="1" x14ac:dyDescent="0.25">
      <c r="F193" s="174"/>
    </row>
    <row r="194" spans="2:40" hidden="1" x14ac:dyDescent="0.25">
      <c r="F194" s="174"/>
    </row>
    <row r="195" spans="2:40" ht="15.75" hidden="1" thickBot="1" x14ac:dyDescent="0.3"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</row>
    <row r="196" spans="2:40" ht="15.75" hidden="1" thickBot="1" x14ac:dyDescent="0.3">
      <c r="B196" s="123"/>
      <c r="C196" s="302" t="s">
        <v>59</v>
      </c>
      <c r="D196" s="303"/>
      <c r="E196" s="303"/>
      <c r="F196" s="303"/>
      <c r="G196" s="303"/>
      <c r="H196" s="303"/>
      <c r="I196" s="303"/>
      <c r="J196" s="303"/>
      <c r="K196" s="303"/>
      <c r="L196" s="303"/>
      <c r="M196" s="303"/>
      <c r="N196" s="303"/>
      <c r="O196" s="303"/>
      <c r="P196" s="303"/>
      <c r="Q196" s="303"/>
      <c r="R196" s="303"/>
      <c r="S196" s="303"/>
      <c r="T196" s="303"/>
      <c r="U196" s="303"/>
      <c r="V196" s="303"/>
      <c r="W196" s="303"/>
      <c r="X196" s="303"/>
      <c r="Y196" s="303"/>
      <c r="Z196" s="303"/>
      <c r="AA196" s="303"/>
      <c r="AB196" s="303"/>
      <c r="AC196" s="303"/>
      <c r="AD196" s="303"/>
      <c r="AE196" s="303"/>
      <c r="AF196" s="303"/>
      <c r="AG196" s="303"/>
      <c r="AH196" s="303"/>
      <c r="AI196" s="303"/>
      <c r="AJ196" s="303"/>
      <c r="AK196" s="303"/>
      <c r="AL196" s="303"/>
      <c r="AM196" s="303"/>
      <c r="AN196" s="304"/>
    </row>
    <row r="197" spans="2:40" ht="15.75" hidden="1" customHeight="1" thickBot="1" x14ac:dyDescent="0.3">
      <c r="B197" s="305" t="s">
        <v>72</v>
      </c>
      <c r="C197" s="148" t="s">
        <v>49</v>
      </c>
      <c r="D197" s="126">
        <v>0</v>
      </c>
      <c r="E197" s="149">
        <f t="shared" ref="E197:AL197" si="32">D197+0.5</f>
        <v>0.5</v>
      </c>
      <c r="F197" s="149">
        <f t="shared" si="32"/>
        <v>1</v>
      </c>
      <c r="G197" s="149">
        <f t="shared" si="32"/>
        <v>1.5</v>
      </c>
      <c r="H197" s="149">
        <f t="shared" si="32"/>
        <v>2</v>
      </c>
      <c r="I197" s="149">
        <f t="shared" si="32"/>
        <v>2.5</v>
      </c>
      <c r="J197" s="149">
        <f t="shared" si="32"/>
        <v>3</v>
      </c>
      <c r="K197" s="149">
        <f t="shared" si="32"/>
        <v>3.5</v>
      </c>
      <c r="L197" s="149">
        <f t="shared" si="32"/>
        <v>4</v>
      </c>
      <c r="M197" s="149">
        <f t="shared" si="32"/>
        <v>4.5</v>
      </c>
      <c r="N197" s="149">
        <f t="shared" si="32"/>
        <v>5</v>
      </c>
      <c r="O197" s="149">
        <f t="shared" si="32"/>
        <v>5.5</v>
      </c>
      <c r="P197" s="149">
        <f t="shared" si="32"/>
        <v>6</v>
      </c>
      <c r="Q197" s="149">
        <f t="shared" si="32"/>
        <v>6.5</v>
      </c>
      <c r="R197" s="149">
        <f t="shared" si="32"/>
        <v>7</v>
      </c>
      <c r="S197" s="149">
        <f t="shared" si="32"/>
        <v>7.5</v>
      </c>
      <c r="T197" s="149">
        <f t="shared" si="32"/>
        <v>8</v>
      </c>
      <c r="U197" s="149">
        <f t="shared" si="32"/>
        <v>8.5</v>
      </c>
      <c r="V197" s="149">
        <f t="shared" si="32"/>
        <v>9</v>
      </c>
      <c r="W197" s="149">
        <f t="shared" si="32"/>
        <v>9.5</v>
      </c>
      <c r="X197" s="149">
        <f t="shared" si="32"/>
        <v>10</v>
      </c>
      <c r="Y197" s="149">
        <f t="shared" si="32"/>
        <v>10.5</v>
      </c>
      <c r="Z197" s="149">
        <f t="shared" si="32"/>
        <v>11</v>
      </c>
      <c r="AA197" s="149">
        <f t="shared" si="32"/>
        <v>11.5</v>
      </c>
      <c r="AB197" s="149">
        <f t="shared" si="32"/>
        <v>12</v>
      </c>
      <c r="AC197" s="149">
        <f t="shared" si="32"/>
        <v>12.5</v>
      </c>
      <c r="AD197" s="149">
        <f t="shared" si="32"/>
        <v>13</v>
      </c>
      <c r="AE197" s="149">
        <f t="shared" si="32"/>
        <v>13.5</v>
      </c>
      <c r="AF197" s="149">
        <f t="shared" si="32"/>
        <v>14</v>
      </c>
      <c r="AG197" s="149">
        <f t="shared" si="32"/>
        <v>14.5</v>
      </c>
      <c r="AH197" s="149">
        <f t="shared" si="32"/>
        <v>15</v>
      </c>
      <c r="AI197" s="149">
        <f t="shared" si="32"/>
        <v>15.5</v>
      </c>
      <c r="AJ197" s="149">
        <f t="shared" si="32"/>
        <v>16</v>
      </c>
      <c r="AK197" s="149">
        <f t="shared" si="32"/>
        <v>16.5</v>
      </c>
      <c r="AL197" s="149">
        <f t="shared" si="32"/>
        <v>17</v>
      </c>
      <c r="AM197" s="149"/>
      <c r="AN197" s="150"/>
    </row>
    <row r="198" spans="2:40" hidden="1" x14ac:dyDescent="0.25">
      <c r="B198" s="306"/>
      <c r="C198" s="133" t="s">
        <v>61</v>
      </c>
      <c r="D198" s="134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51"/>
      <c r="AM198" s="151"/>
      <c r="AN198" s="136"/>
    </row>
    <row r="199" spans="2:40" hidden="1" x14ac:dyDescent="0.25">
      <c r="B199" s="306"/>
      <c r="C199" s="133" t="s">
        <v>62</v>
      </c>
      <c r="D199" s="134" t="e">
        <f>-D216</f>
        <v>#REF!</v>
      </c>
      <c r="E199" s="151">
        <f>IF(MOD(E197,Comparaison!$D$45)=0,-$D216,0)</f>
        <v>0</v>
      </c>
      <c r="F199" s="151">
        <f>IF(MOD(F197,Comparaison!$D$45)=0,-$D216,0)</f>
        <v>0</v>
      </c>
      <c r="G199" s="151">
        <f>IF(MOD(G197,Comparaison!$D$45)=0,-$D216,0)</f>
        <v>0</v>
      </c>
      <c r="H199" s="151">
        <f>IF(MOD(H197,Comparaison!$D$45)=0,-$D216,0)</f>
        <v>0</v>
      </c>
      <c r="I199" s="151">
        <f>IF(MOD(I197,Comparaison!$D$45)=0,-$D216,0)</f>
        <v>0</v>
      </c>
      <c r="J199" s="151">
        <f>IF(MOD(J197,Comparaison!$D$45)=0,-$D216,0)</f>
        <v>0</v>
      </c>
      <c r="K199" s="151">
        <f>IF(MOD(K197,Comparaison!$D$45)=0,-$D216,0)</f>
        <v>0</v>
      </c>
      <c r="L199" s="151">
        <f>IF(MOD(L197,Comparaison!$D$45)=0,-$D216,0)</f>
        <v>0</v>
      </c>
      <c r="M199" s="151">
        <f>IF(MOD(M197,Comparaison!$D$45)=0,-$D216,0)</f>
        <v>0</v>
      </c>
      <c r="N199" s="151">
        <f>IF(MOD(N197,Comparaison!$D$45)=0,-$D216,0)</f>
        <v>0</v>
      </c>
      <c r="O199" s="151">
        <f>IF(MOD(O197,Comparaison!$D$45)=0,-$D216,0)</f>
        <v>0</v>
      </c>
      <c r="P199" s="151">
        <f>IF(MOD(P197,Comparaison!$D$45)=0,-$D216,0)</f>
        <v>0</v>
      </c>
      <c r="Q199" s="151">
        <f>IF(MOD(Q197,Comparaison!$D$45)=0,-$D216,0)</f>
        <v>0</v>
      </c>
      <c r="R199" s="151">
        <f>IF(MOD(R197,Comparaison!$D$45)=0,-$D216,0)</f>
        <v>0</v>
      </c>
      <c r="S199" s="151">
        <f>IF(MOD(S197,Comparaison!$D$45)=0,-$D216,0)</f>
        <v>0</v>
      </c>
      <c r="T199" s="151">
        <f>IF(MOD(T197,Comparaison!$D$45)=0,-$D216,0)</f>
        <v>0</v>
      </c>
      <c r="U199" s="151">
        <f>IF(MOD(U197,Comparaison!$D$45)=0,-$D216,0)</f>
        <v>0</v>
      </c>
      <c r="V199" s="151">
        <f>IF(MOD(V197,Comparaison!$D$45)=0,-$D216,0)</f>
        <v>0</v>
      </c>
      <c r="W199" s="151">
        <f>IF(MOD(W197,Comparaison!$D$45)=0,-$D216,0)</f>
        <v>0</v>
      </c>
      <c r="X199" s="151">
        <f>IF(MOD(X197,Comparaison!$D$45)=0,-$D216,0)</f>
        <v>0</v>
      </c>
      <c r="Y199" s="151">
        <f>IF(MOD(Y197,Comparaison!$D$45)=0,-$D216,0)</f>
        <v>0</v>
      </c>
      <c r="Z199" s="151">
        <f>IF(MOD(Z197,Comparaison!$D$45)=0,-$D216,0)</f>
        <v>0</v>
      </c>
      <c r="AA199" s="151">
        <f>IF(MOD(AA197,Comparaison!$D$45)=0,-$D216,0)</f>
        <v>0</v>
      </c>
      <c r="AB199" s="151" t="e">
        <f>IF(MOD(AB197,Comparaison!$D$45)=0,-$D216,0)</f>
        <v>#REF!</v>
      </c>
      <c r="AC199" s="151">
        <f>IF(MOD(AC197,Comparaison!$D$45)=0,-$D216,0)</f>
        <v>0</v>
      </c>
      <c r="AD199" s="151">
        <f>IF(MOD(AD197,Comparaison!$D$45)=0,-$D216,0)</f>
        <v>0</v>
      </c>
      <c r="AE199" s="151">
        <f>IF(MOD(AE197,Comparaison!$D$45)=0,-$D216,0)</f>
        <v>0</v>
      </c>
      <c r="AF199" s="151">
        <f>IF(MOD(AF197,Comparaison!$D$45)=0,-$D216,0)</f>
        <v>0</v>
      </c>
      <c r="AG199" s="151">
        <f>IF(MOD(AG197,Comparaison!$D$45)=0,-$D216,0)</f>
        <v>0</v>
      </c>
      <c r="AH199" s="151">
        <f>IF(MOD(AH197,Comparaison!$D$45)=0,-$D216,0)</f>
        <v>0</v>
      </c>
      <c r="AI199" s="151">
        <f>IF(MOD(AI197,Comparaison!$D$45)=0,-$D216,0)</f>
        <v>0</v>
      </c>
      <c r="AJ199" s="151">
        <f>IF(MOD(AJ197,Comparaison!$D$45)=0,-$D216,0)</f>
        <v>0</v>
      </c>
      <c r="AK199" s="151">
        <f>IF(MOD(AK197,Comparaison!$D$45)=0,-$D216,0)</f>
        <v>0</v>
      </c>
      <c r="AL199" s="151">
        <f>IF(MOD(AL197,Comparaison!$D$45)=0,-$D216,0)</f>
        <v>0</v>
      </c>
      <c r="AM199" s="151"/>
      <c r="AN199" s="136"/>
    </row>
    <row r="200" spans="2:40" hidden="1" x14ac:dyDescent="0.25">
      <c r="B200" s="306"/>
      <c r="C200" s="133" t="s">
        <v>71</v>
      </c>
      <c r="D200" s="134" t="e">
        <f>-$D218-$D215-$D219</f>
        <v>#REF!</v>
      </c>
      <c r="E200" s="151">
        <f>IF(MOD(E197,$D$138)=0,-$D218-$D215-$D220,0)</f>
        <v>0</v>
      </c>
      <c r="F200" s="151">
        <f t="shared" ref="F200:AL200" si="33">IF(MOD(F197,$D$138)=0,-$D218-$D215-$D219,0)</f>
        <v>0</v>
      </c>
      <c r="G200" s="151">
        <f t="shared" si="33"/>
        <v>0</v>
      </c>
      <c r="H200" s="151">
        <f t="shared" si="33"/>
        <v>0</v>
      </c>
      <c r="I200" s="151">
        <f t="shared" si="33"/>
        <v>0</v>
      </c>
      <c r="J200" s="151">
        <f t="shared" si="33"/>
        <v>0</v>
      </c>
      <c r="K200" s="151">
        <f t="shared" si="33"/>
        <v>0</v>
      </c>
      <c r="L200" s="151" t="e">
        <f t="shared" si="33"/>
        <v>#REF!</v>
      </c>
      <c r="M200" s="151">
        <f t="shared" si="33"/>
        <v>0</v>
      </c>
      <c r="N200" s="151">
        <f t="shared" si="33"/>
        <v>0</v>
      </c>
      <c r="O200" s="151">
        <f t="shared" si="33"/>
        <v>0</v>
      </c>
      <c r="P200" s="151">
        <f t="shared" si="33"/>
        <v>0</v>
      </c>
      <c r="Q200" s="151">
        <f t="shared" si="33"/>
        <v>0</v>
      </c>
      <c r="R200" s="151">
        <f t="shared" si="33"/>
        <v>0</v>
      </c>
      <c r="S200" s="151">
        <f t="shared" si="33"/>
        <v>0</v>
      </c>
      <c r="T200" s="151" t="e">
        <f t="shared" si="33"/>
        <v>#REF!</v>
      </c>
      <c r="U200" s="151">
        <f t="shared" si="33"/>
        <v>0</v>
      </c>
      <c r="V200" s="151">
        <f t="shared" si="33"/>
        <v>0</v>
      </c>
      <c r="W200" s="151">
        <f t="shared" si="33"/>
        <v>0</v>
      </c>
      <c r="X200" s="151">
        <f t="shared" si="33"/>
        <v>0</v>
      </c>
      <c r="Y200" s="151">
        <f t="shared" si="33"/>
        <v>0</v>
      </c>
      <c r="Z200" s="151">
        <f t="shared" si="33"/>
        <v>0</v>
      </c>
      <c r="AA200" s="151">
        <f t="shared" si="33"/>
        <v>0</v>
      </c>
      <c r="AB200" s="151" t="e">
        <f t="shared" si="33"/>
        <v>#REF!</v>
      </c>
      <c r="AC200" s="151">
        <f t="shared" si="33"/>
        <v>0</v>
      </c>
      <c r="AD200" s="151">
        <f t="shared" si="33"/>
        <v>0</v>
      </c>
      <c r="AE200" s="151">
        <f t="shared" si="33"/>
        <v>0</v>
      </c>
      <c r="AF200" s="151">
        <f t="shared" si="33"/>
        <v>0</v>
      </c>
      <c r="AG200" s="151">
        <f t="shared" si="33"/>
        <v>0</v>
      </c>
      <c r="AH200" s="151">
        <f t="shared" si="33"/>
        <v>0</v>
      </c>
      <c r="AI200" s="151">
        <f t="shared" si="33"/>
        <v>0</v>
      </c>
      <c r="AJ200" s="151" t="e">
        <f t="shared" si="33"/>
        <v>#REF!</v>
      </c>
      <c r="AK200" s="151">
        <f t="shared" si="33"/>
        <v>0</v>
      </c>
      <c r="AL200" s="151">
        <f t="shared" si="33"/>
        <v>0</v>
      </c>
      <c r="AM200" s="151"/>
      <c r="AN200" s="136"/>
    </row>
    <row r="201" spans="2:40" hidden="1" x14ac:dyDescent="0.25">
      <c r="B201" s="306"/>
      <c r="C201" s="133" t="s">
        <v>63</v>
      </c>
      <c r="D201" s="134" t="e">
        <f>-D217</f>
        <v>#REF!</v>
      </c>
      <c r="E201" s="151">
        <f t="shared" ref="E201:AL201" si="34">IF(MOD(E197,$D$137)=0,-$D217,0)</f>
        <v>0</v>
      </c>
      <c r="F201" s="151">
        <f t="shared" si="34"/>
        <v>0</v>
      </c>
      <c r="G201" s="151">
        <f t="shared" si="34"/>
        <v>0</v>
      </c>
      <c r="H201" s="151">
        <f t="shared" si="34"/>
        <v>0</v>
      </c>
      <c r="I201" s="151">
        <f t="shared" si="34"/>
        <v>0</v>
      </c>
      <c r="J201" s="151">
        <f t="shared" si="34"/>
        <v>0</v>
      </c>
      <c r="K201" s="151">
        <f t="shared" si="34"/>
        <v>0</v>
      </c>
      <c r="L201" s="151">
        <f t="shared" si="34"/>
        <v>0</v>
      </c>
      <c r="M201" s="151">
        <f t="shared" si="34"/>
        <v>0</v>
      </c>
      <c r="N201" s="151">
        <f t="shared" si="34"/>
        <v>0</v>
      </c>
      <c r="O201" s="151">
        <f t="shared" si="34"/>
        <v>0</v>
      </c>
      <c r="P201" s="151">
        <f t="shared" si="34"/>
        <v>0</v>
      </c>
      <c r="Q201" s="151">
        <f t="shared" si="34"/>
        <v>0</v>
      </c>
      <c r="R201" s="151">
        <f t="shared" si="34"/>
        <v>0</v>
      </c>
      <c r="S201" s="151">
        <f t="shared" si="34"/>
        <v>0</v>
      </c>
      <c r="T201" s="151">
        <f t="shared" si="34"/>
        <v>0</v>
      </c>
      <c r="U201" s="151">
        <f t="shared" si="34"/>
        <v>0</v>
      </c>
      <c r="V201" s="151">
        <f t="shared" si="34"/>
        <v>0</v>
      </c>
      <c r="W201" s="151">
        <f t="shared" si="34"/>
        <v>0</v>
      </c>
      <c r="X201" s="151">
        <f t="shared" si="34"/>
        <v>0</v>
      </c>
      <c r="Y201" s="151">
        <f t="shared" si="34"/>
        <v>0</v>
      </c>
      <c r="Z201" s="151">
        <f t="shared" si="34"/>
        <v>0</v>
      </c>
      <c r="AA201" s="151">
        <f t="shared" si="34"/>
        <v>0</v>
      </c>
      <c r="AB201" s="151" t="e">
        <f t="shared" si="34"/>
        <v>#REF!</v>
      </c>
      <c r="AC201" s="151">
        <f t="shared" si="34"/>
        <v>0</v>
      </c>
      <c r="AD201" s="151">
        <f t="shared" si="34"/>
        <v>0</v>
      </c>
      <c r="AE201" s="151">
        <f t="shared" si="34"/>
        <v>0</v>
      </c>
      <c r="AF201" s="151">
        <f t="shared" si="34"/>
        <v>0</v>
      </c>
      <c r="AG201" s="151">
        <f t="shared" si="34"/>
        <v>0</v>
      </c>
      <c r="AH201" s="151">
        <f t="shared" si="34"/>
        <v>0</v>
      </c>
      <c r="AI201" s="151">
        <f t="shared" si="34"/>
        <v>0</v>
      </c>
      <c r="AJ201" s="151">
        <f t="shared" si="34"/>
        <v>0</v>
      </c>
      <c r="AK201" s="151">
        <f t="shared" si="34"/>
        <v>0</v>
      </c>
      <c r="AL201" s="151">
        <f t="shared" si="34"/>
        <v>0</v>
      </c>
      <c r="AM201" s="151"/>
      <c r="AN201" s="136"/>
    </row>
    <row r="202" spans="2:40" hidden="1" x14ac:dyDescent="0.25">
      <c r="B202" s="306"/>
      <c r="C202" s="133"/>
      <c r="D202" s="134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36"/>
    </row>
    <row r="203" spans="2:40" hidden="1" x14ac:dyDescent="0.25">
      <c r="B203" s="306"/>
      <c r="C203" s="133" t="s">
        <v>68</v>
      </c>
      <c r="D203" s="134" t="e">
        <f>-D220</f>
        <v>#REF!</v>
      </c>
      <c r="E203" s="151">
        <f t="shared" ref="E203:AL203" si="35">IF(SUM(E199:E202)&lt;0, SUM(E199:E202)*0.2, 0)</f>
        <v>0</v>
      </c>
      <c r="F203" s="151">
        <f t="shared" si="35"/>
        <v>0</v>
      </c>
      <c r="G203" s="151">
        <f t="shared" si="35"/>
        <v>0</v>
      </c>
      <c r="H203" s="151">
        <f t="shared" si="35"/>
        <v>0</v>
      </c>
      <c r="I203" s="151">
        <f t="shared" si="35"/>
        <v>0</v>
      </c>
      <c r="J203" s="151">
        <f t="shared" si="35"/>
        <v>0</v>
      </c>
      <c r="K203" s="151">
        <f t="shared" si="35"/>
        <v>0</v>
      </c>
      <c r="L203" s="151" t="e">
        <f t="shared" si="35"/>
        <v>#REF!</v>
      </c>
      <c r="M203" s="151">
        <f t="shared" si="35"/>
        <v>0</v>
      </c>
      <c r="N203" s="151">
        <f t="shared" si="35"/>
        <v>0</v>
      </c>
      <c r="O203" s="151">
        <f t="shared" si="35"/>
        <v>0</v>
      </c>
      <c r="P203" s="151">
        <f t="shared" si="35"/>
        <v>0</v>
      </c>
      <c r="Q203" s="151">
        <f t="shared" si="35"/>
        <v>0</v>
      </c>
      <c r="R203" s="151">
        <f t="shared" si="35"/>
        <v>0</v>
      </c>
      <c r="S203" s="151">
        <f t="shared" si="35"/>
        <v>0</v>
      </c>
      <c r="T203" s="151" t="e">
        <f t="shared" si="35"/>
        <v>#REF!</v>
      </c>
      <c r="U203" s="151">
        <f t="shared" si="35"/>
        <v>0</v>
      </c>
      <c r="V203" s="151">
        <f t="shared" si="35"/>
        <v>0</v>
      </c>
      <c r="W203" s="151">
        <f t="shared" si="35"/>
        <v>0</v>
      </c>
      <c r="X203" s="151">
        <f t="shared" si="35"/>
        <v>0</v>
      </c>
      <c r="Y203" s="151">
        <f t="shared" si="35"/>
        <v>0</v>
      </c>
      <c r="Z203" s="151">
        <f t="shared" si="35"/>
        <v>0</v>
      </c>
      <c r="AA203" s="151">
        <f t="shared" si="35"/>
        <v>0</v>
      </c>
      <c r="AB203" s="151" t="e">
        <f t="shared" si="35"/>
        <v>#REF!</v>
      </c>
      <c r="AC203" s="151">
        <f t="shared" si="35"/>
        <v>0</v>
      </c>
      <c r="AD203" s="151">
        <f t="shared" si="35"/>
        <v>0</v>
      </c>
      <c r="AE203" s="151">
        <f t="shared" si="35"/>
        <v>0</v>
      </c>
      <c r="AF203" s="151">
        <f t="shared" si="35"/>
        <v>0</v>
      </c>
      <c r="AG203" s="151">
        <f t="shared" si="35"/>
        <v>0</v>
      </c>
      <c r="AH203" s="151">
        <f t="shared" si="35"/>
        <v>0</v>
      </c>
      <c r="AI203" s="151">
        <f t="shared" si="35"/>
        <v>0</v>
      </c>
      <c r="AJ203" s="151" t="e">
        <f t="shared" si="35"/>
        <v>#REF!</v>
      </c>
      <c r="AK203" s="151">
        <f t="shared" si="35"/>
        <v>0</v>
      </c>
      <c r="AL203" s="151">
        <f t="shared" si="35"/>
        <v>0</v>
      </c>
      <c r="AM203" s="151"/>
      <c r="AN203" s="136"/>
    </row>
    <row r="204" spans="2:40" hidden="1" x14ac:dyDescent="0.25">
      <c r="B204" s="306"/>
      <c r="C204" s="133" t="s">
        <v>58</v>
      </c>
      <c r="D204" s="134"/>
      <c r="E204" s="151">
        <f t="shared" ref="E204:AL204" si="36">-($D$45/100*$D$135*$D$47)/2</f>
        <v>-196.00000000000003</v>
      </c>
      <c r="F204" s="151">
        <f t="shared" si="36"/>
        <v>-196.00000000000003</v>
      </c>
      <c r="G204" s="151">
        <f t="shared" si="36"/>
        <v>-196.00000000000003</v>
      </c>
      <c r="H204" s="151">
        <f t="shared" si="36"/>
        <v>-196.00000000000003</v>
      </c>
      <c r="I204" s="151">
        <f t="shared" si="36"/>
        <v>-196.00000000000003</v>
      </c>
      <c r="J204" s="151">
        <f t="shared" si="36"/>
        <v>-196.00000000000003</v>
      </c>
      <c r="K204" s="151">
        <f t="shared" si="36"/>
        <v>-196.00000000000003</v>
      </c>
      <c r="L204" s="151">
        <f t="shared" si="36"/>
        <v>-196.00000000000003</v>
      </c>
      <c r="M204" s="151">
        <f t="shared" si="36"/>
        <v>-196.00000000000003</v>
      </c>
      <c r="N204" s="151">
        <f t="shared" si="36"/>
        <v>-196.00000000000003</v>
      </c>
      <c r="O204" s="151">
        <f t="shared" si="36"/>
        <v>-196.00000000000003</v>
      </c>
      <c r="P204" s="151">
        <f t="shared" si="36"/>
        <v>-196.00000000000003</v>
      </c>
      <c r="Q204" s="151">
        <f t="shared" si="36"/>
        <v>-196.00000000000003</v>
      </c>
      <c r="R204" s="151">
        <f t="shared" si="36"/>
        <v>-196.00000000000003</v>
      </c>
      <c r="S204" s="151">
        <f t="shared" si="36"/>
        <v>-196.00000000000003</v>
      </c>
      <c r="T204" s="151">
        <f t="shared" si="36"/>
        <v>-196.00000000000003</v>
      </c>
      <c r="U204" s="151">
        <f t="shared" si="36"/>
        <v>-196.00000000000003</v>
      </c>
      <c r="V204" s="151">
        <f t="shared" si="36"/>
        <v>-196.00000000000003</v>
      </c>
      <c r="W204" s="151">
        <f t="shared" si="36"/>
        <v>-196.00000000000003</v>
      </c>
      <c r="X204" s="151">
        <f t="shared" si="36"/>
        <v>-196.00000000000003</v>
      </c>
      <c r="Y204" s="151">
        <f t="shared" si="36"/>
        <v>-196.00000000000003</v>
      </c>
      <c r="Z204" s="151">
        <f t="shared" si="36"/>
        <v>-196.00000000000003</v>
      </c>
      <c r="AA204" s="151">
        <f t="shared" si="36"/>
        <v>-196.00000000000003</v>
      </c>
      <c r="AB204" s="151">
        <f t="shared" si="36"/>
        <v>-196.00000000000003</v>
      </c>
      <c r="AC204" s="151">
        <f t="shared" si="36"/>
        <v>-196.00000000000003</v>
      </c>
      <c r="AD204" s="151">
        <f t="shared" si="36"/>
        <v>-196.00000000000003</v>
      </c>
      <c r="AE204" s="151">
        <f t="shared" si="36"/>
        <v>-196.00000000000003</v>
      </c>
      <c r="AF204" s="151">
        <f t="shared" si="36"/>
        <v>-196.00000000000003</v>
      </c>
      <c r="AG204" s="151">
        <f t="shared" si="36"/>
        <v>-196.00000000000003</v>
      </c>
      <c r="AH204" s="151">
        <f t="shared" si="36"/>
        <v>-196.00000000000003</v>
      </c>
      <c r="AI204" s="151">
        <f t="shared" si="36"/>
        <v>-196.00000000000003</v>
      </c>
      <c r="AJ204" s="151">
        <f t="shared" si="36"/>
        <v>-196.00000000000003</v>
      </c>
      <c r="AK204" s="151">
        <f t="shared" si="36"/>
        <v>-196.00000000000003</v>
      </c>
      <c r="AL204" s="151">
        <f t="shared" si="36"/>
        <v>-196.00000000000003</v>
      </c>
      <c r="AM204" s="151"/>
      <c r="AN204" s="136"/>
    </row>
    <row r="205" spans="2:40" hidden="1" x14ac:dyDescent="0.25">
      <c r="B205" s="306"/>
      <c r="C205" s="133" t="s">
        <v>53</v>
      </c>
      <c r="D205" s="134"/>
      <c r="E205" s="151">
        <f t="shared" ref="E205:AL205" si="37">-($D$54*$D$45)*(1-$D$134)/2</f>
        <v>-200.09999999999997</v>
      </c>
      <c r="F205" s="151">
        <f t="shared" si="37"/>
        <v>-200.09999999999997</v>
      </c>
      <c r="G205" s="151">
        <f t="shared" si="37"/>
        <v>-200.09999999999997</v>
      </c>
      <c r="H205" s="151">
        <f t="shared" si="37"/>
        <v>-200.09999999999997</v>
      </c>
      <c r="I205" s="151">
        <f t="shared" si="37"/>
        <v>-200.09999999999997</v>
      </c>
      <c r="J205" s="151">
        <f t="shared" si="37"/>
        <v>-200.09999999999997</v>
      </c>
      <c r="K205" s="151">
        <f t="shared" si="37"/>
        <v>-200.09999999999997</v>
      </c>
      <c r="L205" s="151">
        <f t="shared" si="37"/>
        <v>-200.09999999999997</v>
      </c>
      <c r="M205" s="151">
        <f t="shared" si="37"/>
        <v>-200.09999999999997</v>
      </c>
      <c r="N205" s="151">
        <f t="shared" si="37"/>
        <v>-200.09999999999997</v>
      </c>
      <c r="O205" s="151">
        <f t="shared" si="37"/>
        <v>-200.09999999999997</v>
      </c>
      <c r="P205" s="151">
        <f t="shared" si="37"/>
        <v>-200.09999999999997</v>
      </c>
      <c r="Q205" s="151">
        <f t="shared" si="37"/>
        <v>-200.09999999999997</v>
      </c>
      <c r="R205" s="151">
        <f t="shared" si="37"/>
        <v>-200.09999999999997</v>
      </c>
      <c r="S205" s="151">
        <f t="shared" si="37"/>
        <v>-200.09999999999997</v>
      </c>
      <c r="T205" s="151">
        <f t="shared" si="37"/>
        <v>-200.09999999999997</v>
      </c>
      <c r="U205" s="151">
        <f t="shared" si="37"/>
        <v>-200.09999999999997</v>
      </c>
      <c r="V205" s="151">
        <f t="shared" si="37"/>
        <v>-200.09999999999997</v>
      </c>
      <c r="W205" s="151">
        <f t="shared" si="37"/>
        <v>-200.09999999999997</v>
      </c>
      <c r="X205" s="151">
        <f t="shared" si="37"/>
        <v>-200.09999999999997</v>
      </c>
      <c r="Y205" s="151">
        <f t="shared" si="37"/>
        <v>-200.09999999999997</v>
      </c>
      <c r="Z205" s="151">
        <f t="shared" si="37"/>
        <v>-200.09999999999997</v>
      </c>
      <c r="AA205" s="151">
        <f t="shared" si="37"/>
        <v>-200.09999999999997</v>
      </c>
      <c r="AB205" s="151">
        <f t="shared" si="37"/>
        <v>-200.09999999999997</v>
      </c>
      <c r="AC205" s="151">
        <f t="shared" si="37"/>
        <v>-200.09999999999997</v>
      </c>
      <c r="AD205" s="151">
        <f t="shared" si="37"/>
        <v>-200.09999999999997</v>
      </c>
      <c r="AE205" s="151">
        <f t="shared" si="37"/>
        <v>-200.09999999999997</v>
      </c>
      <c r="AF205" s="151">
        <f t="shared" si="37"/>
        <v>-200.09999999999997</v>
      </c>
      <c r="AG205" s="151">
        <f t="shared" si="37"/>
        <v>-200.09999999999997</v>
      </c>
      <c r="AH205" s="151">
        <f t="shared" si="37"/>
        <v>-200.09999999999997</v>
      </c>
      <c r="AI205" s="151">
        <f t="shared" si="37"/>
        <v>-200.09999999999997</v>
      </c>
      <c r="AJ205" s="151">
        <f t="shared" si="37"/>
        <v>-200.09999999999997</v>
      </c>
      <c r="AK205" s="151">
        <f t="shared" si="37"/>
        <v>-200.09999999999997</v>
      </c>
      <c r="AL205" s="151">
        <f t="shared" si="37"/>
        <v>-200.09999999999997</v>
      </c>
      <c r="AM205" s="151"/>
      <c r="AN205" s="136"/>
    </row>
    <row r="206" spans="2:40" hidden="1" x14ac:dyDescent="0.25">
      <c r="B206" s="306"/>
      <c r="C206" s="133">
        <f>$C$133</f>
        <v>0</v>
      </c>
      <c r="D206" s="134">
        <f>Comparaison!$D$39/6</f>
        <v>0</v>
      </c>
      <c r="E206" s="151">
        <f>Comparaison!$D$39/6</f>
        <v>0</v>
      </c>
      <c r="F206" s="134">
        <f>Comparaison!$D$39/6</f>
        <v>0</v>
      </c>
      <c r="G206" s="134">
        <f>Comparaison!$D$39/6</f>
        <v>0</v>
      </c>
      <c r="H206" s="134">
        <f>Comparaison!$D$39/6</f>
        <v>0</v>
      </c>
      <c r="I206" s="134">
        <f>Comparaison!$D$39/6</f>
        <v>0</v>
      </c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6"/>
    </row>
    <row r="207" spans="2:40" ht="15.75" hidden="1" customHeight="1" thickBot="1" x14ac:dyDescent="0.3">
      <c r="B207" s="306"/>
      <c r="C207" s="133" t="s">
        <v>48</v>
      </c>
      <c r="D207" s="134">
        <f>-D221</f>
        <v>0</v>
      </c>
      <c r="E207" s="151">
        <v>0</v>
      </c>
      <c r="F207" s="151">
        <v>0</v>
      </c>
      <c r="G207" s="134">
        <v>0</v>
      </c>
      <c r="H207" s="134">
        <v>0</v>
      </c>
      <c r="I207" s="134">
        <v>0</v>
      </c>
      <c r="J207" s="134">
        <v>0</v>
      </c>
      <c r="K207" s="134">
        <v>0</v>
      </c>
      <c r="L207" s="134">
        <v>0</v>
      </c>
      <c r="M207" s="134">
        <v>0</v>
      </c>
      <c r="N207" s="134">
        <v>0</v>
      </c>
      <c r="O207" s="134">
        <v>0</v>
      </c>
      <c r="P207" s="134">
        <v>0</v>
      </c>
      <c r="Q207" s="134">
        <v>0</v>
      </c>
      <c r="R207" s="134">
        <v>0</v>
      </c>
      <c r="S207" s="134">
        <v>0</v>
      </c>
      <c r="T207" s="134">
        <v>0</v>
      </c>
      <c r="U207" s="134">
        <v>0</v>
      </c>
      <c r="V207" s="134">
        <v>0</v>
      </c>
      <c r="W207" s="134">
        <v>0</v>
      </c>
      <c r="X207" s="134">
        <v>0</v>
      </c>
      <c r="Y207" s="134">
        <v>0</v>
      </c>
      <c r="Z207" s="134">
        <v>0</v>
      </c>
      <c r="AA207" s="134">
        <v>0</v>
      </c>
      <c r="AB207" s="134">
        <v>0</v>
      </c>
      <c r="AC207" s="134">
        <v>0</v>
      </c>
      <c r="AD207" s="134">
        <v>0</v>
      </c>
      <c r="AE207" s="134">
        <v>0</v>
      </c>
      <c r="AF207" s="134">
        <v>0</v>
      </c>
      <c r="AG207" s="134">
        <v>0</v>
      </c>
      <c r="AH207" s="134">
        <v>0</v>
      </c>
      <c r="AI207" s="134">
        <v>0</v>
      </c>
      <c r="AJ207" s="134">
        <v>0</v>
      </c>
      <c r="AK207" s="134">
        <v>0</v>
      </c>
      <c r="AL207" s="134">
        <v>0</v>
      </c>
      <c r="AM207" s="134"/>
      <c r="AN207" s="136"/>
    </row>
    <row r="208" spans="2:40" ht="15.75" hidden="1" thickTop="1" x14ac:dyDescent="0.25">
      <c r="B208" s="306"/>
      <c r="C208" s="152" t="s">
        <v>54</v>
      </c>
      <c r="D208" s="153" t="e">
        <f>IF(D197+0.5&lt;Comparaison!$D$45,SUM(D198:D207),)</f>
        <v>#REF!</v>
      </c>
      <c r="E208" s="153">
        <f>IF(E197+0.5&lt;=Comparaison!$D$45,SUM(E198:E207),)</f>
        <v>-396.1</v>
      </c>
      <c r="F208" s="153">
        <f>IF(F197+0.5&lt;=Comparaison!$D$45,SUM(F198:F207),)</f>
        <v>-396.1</v>
      </c>
      <c r="G208" s="153">
        <f>IF(G197+0.5&lt;=Comparaison!$D$45,SUM(G198:G207),)</f>
        <v>-396.1</v>
      </c>
      <c r="H208" s="153">
        <f>IF(H197+0.5&lt;=Comparaison!$D$45,SUM(H198:H207),)</f>
        <v>-396.1</v>
      </c>
      <c r="I208" s="153">
        <f>IF(I197+0.5&lt;=Comparaison!$D$45,SUM(I198:I207),)</f>
        <v>-396.1</v>
      </c>
      <c r="J208" s="153">
        <f>IF(J197+0.5&lt;=Comparaison!$D$45,SUM(J198:J207),)</f>
        <v>-396.1</v>
      </c>
      <c r="K208" s="153">
        <f>IF(K197+0.5&lt;=Comparaison!$D$45,SUM(K198:K207),)</f>
        <v>-396.1</v>
      </c>
      <c r="L208" s="153" t="e">
        <f>IF(L197+0.5&lt;=Comparaison!$D$45,SUM(L198:L207),)</f>
        <v>#REF!</v>
      </c>
      <c r="M208" s="153">
        <f>IF(M197+0.5&lt;=Comparaison!$D$45,SUM(M198:M207),)</f>
        <v>-396.1</v>
      </c>
      <c r="N208" s="153">
        <f>IF(N197+0.5&lt;=Comparaison!$D$45,SUM(N198:N207),)</f>
        <v>-396.1</v>
      </c>
      <c r="O208" s="153">
        <f>IF(O197+0.5&lt;=Comparaison!$D$45,SUM(O198:O207),)</f>
        <v>-396.1</v>
      </c>
      <c r="P208" s="153">
        <f>IF(P197+0.5&lt;=Comparaison!$D$45,SUM(P198:P207),)</f>
        <v>-396.1</v>
      </c>
      <c r="Q208" s="153">
        <f>IF(Q197+0.5&lt;=Comparaison!$D$45,SUM(Q198:Q207),)</f>
        <v>-396.1</v>
      </c>
      <c r="R208" s="153">
        <f>IF(R197+0.5&lt;=Comparaison!$D$45,SUM(R198:R207),)</f>
        <v>-396.1</v>
      </c>
      <c r="S208" s="153">
        <f>IF(S197+0.5&lt;=Comparaison!$D$45,SUM(S198:S207),)</f>
        <v>-396.1</v>
      </c>
      <c r="T208" s="153" t="e">
        <f>IF(T197+0.5&lt;=Comparaison!$D$45,SUM(T198:T207),)</f>
        <v>#REF!</v>
      </c>
      <c r="U208" s="153">
        <f>IF(U197+0.5&lt;=Comparaison!$D$45,SUM(U198:U207),)</f>
        <v>-396.1</v>
      </c>
      <c r="V208" s="153">
        <f>IF(V197+0.5&lt;=Comparaison!$D$45,SUM(V198:V207),)</f>
        <v>-396.1</v>
      </c>
      <c r="W208" s="153">
        <f>IF(W197+0.5&lt;=Comparaison!$D$45,SUM(W198:W207),)</f>
        <v>-396.1</v>
      </c>
      <c r="X208" s="153">
        <f>IF(X197+0.5&lt;=Comparaison!$D$45,SUM(X198:X207),)</f>
        <v>-396.1</v>
      </c>
      <c r="Y208" s="153">
        <f>IF(Y197+0.5&lt;=Comparaison!$D$45,SUM(Y198:Y207),)</f>
        <v>-396.1</v>
      </c>
      <c r="Z208" s="153">
        <f>IF(Z197+0.5&lt;=Comparaison!$D$45,SUM(Z198:Z207),)</f>
        <v>-396.1</v>
      </c>
      <c r="AA208" s="153">
        <f>IF(AA197+0.5&lt;=Comparaison!$D$45,SUM(AA198:AA207),)</f>
        <v>-396.1</v>
      </c>
      <c r="AB208" s="153">
        <f>IF(AB197+0.5&lt;=Comparaison!$D$45,SUM(AB198:AB207),)</f>
        <v>0</v>
      </c>
      <c r="AC208" s="153">
        <f>IF(AC197+0.5&lt;=Comparaison!$D$45,SUM(AC198:AC207),)</f>
        <v>0</v>
      </c>
      <c r="AD208" s="153">
        <f>IF(AD197+0.5&lt;=Comparaison!$D$45,SUM(AD198:AD207),)</f>
        <v>0</v>
      </c>
      <c r="AE208" s="153">
        <f>IF(AE197+0.5&lt;=Comparaison!$D$45,SUM(AE198:AE207),)</f>
        <v>0</v>
      </c>
      <c r="AF208" s="153">
        <f>IF(AF197+0.5&lt;=Comparaison!$D$45,SUM(AF198:AF207),)</f>
        <v>0</v>
      </c>
      <c r="AG208" s="153">
        <f>IF(AG197+0.5&lt;=Comparaison!$D$45,SUM(AG198:AG207),)</f>
        <v>0</v>
      </c>
      <c r="AH208" s="153">
        <f>IF(AH197+0.5&lt;=Comparaison!$D$45,SUM(AH198:AH207),)</f>
        <v>0</v>
      </c>
      <c r="AI208" s="153">
        <f>IF(AI197+0.5&lt;=Comparaison!$D$45,SUM(AI198:AI207),)</f>
        <v>0</v>
      </c>
      <c r="AJ208" s="153">
        <f>IF(AJ197+0.5&lt;=Comparaison!$D$45,SUM(AJ198:AJ207),)</f>
        <v>0</v>
      </c>
      <c r="AK208" s="153">
        <f>IF(AK197+0.5&lt;=Comparaison!$D$45,SUM(AK198:AK207),)</f>
        <v>0</v>
      </c>
      <c r="AL208" s="153">
        <f>IF(AL197+0.5&lt;=Comparaison!$D$45,SUM(AL198:AL207),)</f>
        <v>0</v>
      </c>
      <c r="AM208" s="153"/>
      <c r="AN208" s="154"/>
    </row>
    <row r="209" spans="2:40" s="50" customFormat="1" hidden="1" x14ac:dyDescent="0.25">
      <c r="B209" s="306"/>
      <c r="C209" s="155" t="s">
        <v>64</v>
      </c>
      <c r="D209" s="156">
        <f>(1+Comparaison!$D$17)^0.5-1</f>
        <v>0</v>
      </c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8"/>
    </row>
    <row r="210" spans="2:40" s="50" customFormat="1" hidden="1" x14ac:dyDescent="0.25">
      <c r="B210" s="306"/>
      <c r="C210" s="159" t="s">
        <v>55</v>
      </c>
      <c r="D210" s="160" t="e">
        <f>D208+NPV(D209,E208:AN208)</f>
        <v>#REF!</v>
      </c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8"/>
    </row>
    <row r="211" spans="2:40" s="50" customFormat="1" ht="15.75" hidden="1" thickBot="1" x14ac:dyDescent="0.3">
      <c r="B211" s="307"/>
      <c r="C211" s="161" t="s">
        <v>56</v>
      </c>
      <c r="D211" s="162" t="e">
        <f>PMT(Comparaison!$D$17,Comparaison!$D$45,D210,0)</f>
        <v>#REF!</v>
      </c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4"/>
    </row>
    <row r="212" spans="2:40" hidden="1" x14ac:dyDescent="0.25"/>
    <row r="213" spans="2:40" ht="15.75" hidden="1" thickBot="1" x14ac:dyDescent="0.3"/>
    <row r="214" spans="2:40" hidden="1" x14ac:dyDescent="0.25">
      <c r="C214" s="171" t="str">
        <f t="shared" ref="C214:C221" si="38">C124</f>
        <v>Valeur résiduelle du camion après 6 ans ($)</v>
      </c>
      <c r="D214" s="74" t="e">
        <f>#REF!</f>
        <v>#REF!</v>
      </c>
      <c r="E214" s="174" t="s">
        <v>69</v>
      </c>
    </row>
    <row r="215" spans="2:40" hidden="1" x14ac:dyDescent="0.25">
      <c r="C215" s="33">
        <f t="shared" si="38"/>
        <v>0</v>
      </c>
      <c r="D215" s="29" t="e">
        <f>(D125)*(1-E215)</f>
        <v>#REF!</v>
      </c>
      <c r="E215" s="178" t="e">
        <f>1-'Feuille de calcul'!C576/'Feuille de calcul'!$C$573</f>
        <v>#REF!</v>
      </c>
    </row>
    <row r="216" spans="2:40" hidden="1" x14ac:dyDescent="0.25">
      <c r="C216" s="33" t="e">
        <f t="shared" si="38"/>
        <v>#REF!</v>
      </c>
      <c r="D216" s="29" t="e">
        <f>D126*(1-$E$215)</f>
        <v>#REF!</v>
      </c>
    </row>
    <row r="217" spans="2:40" hidden="1" x14ac:dyDescent="0.25">
      <c r="C217" s="33" t="str">
        <f t="shared" si="38"/>
        <v>Estimation $ de remplacement des batteries après 12 ans</v>
      </c>
      <c r="D217" s="29" t="e">
        <f>D127*(1-$E$215)</f>
        <v>#REF!</v>
      </c>
    </row>
    <row r="218" spans="2:40" hidden="1" x14ac:dyDescent="0.25">
      <c r="C218" s="33" t="str">
        <f t="shared" si="38"/>
        <v xml:space="preserve">Costs of resettlement  </v>
      </c>
      <c r="D218" s="29" t="e">
        <f>D128*(1-$E$215)</f>
        <v>#REF!</v>
      </c>
    </row>
    <row r="219" spans="2:40" hidden="1" x14ac:dyDescent="0.25">
      <c r="C219" s="33" t="str">
        <f t="shared" si="38"/>
        <v>Coût de la réinstallation</v>
      </c>
      <c r="D219" s="29" t="e">
        <f>D129*(1-$E$215)</f>
        <v>#REF!</v>
      </c>
    </row>
    <row r="220" spans="2:40" hidden="1" x14ac:dyDescent="0.25">
      <c r="C220" s="33" t="e">
        <f t="shared" si="38"/>
        <v>#REF!</v>
      </c>
      <c r="D220" s="29" t="e">
        <f>'Feuille de calcul'!D576</f>
        <v>#REF!</v>
      </c>
    </row>
    <row r="221" spans="2:40" hidden="1" x14ac:dyDescent="0.25">
      <c r="C221" s="33">
        <f t="shared" si="38"/>
        <v>0</v>
      </c>
      <c r="D221" s="29">
        <f>'Feuille de calcul'!F576</f>
        <v>0</v>
      </c>
      <c r="F221" s="174"/>
      <c r="G221" s="174"/>
    </row>
    <row r="222" spans="2:40" hidden="1" x14ac:dyDescent="0.25">
      <c r="C222" s="33"/>
      <c r="D222" s="31"/>
      <c r="F222" s="174"/>
    </row>
    <row r="223" spans="2:40" hidden="1" x14ac:dyDescent="0.25">
      <c r="F223" s="174"/>
    </row>
    <row r="224" spans="2:40" ht="15.75" hidden="1" thickBot="1" x14ac:dyDescent="0.3"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3"/>
      <c r="AN224" s="123"/>
    </row>
    <row r="225" spans="2:40" ht="15.75" hidden="1" thickBot="1" x14ac:dyDescent="0.3">
      <c r="B225" s="123"/>
      <c r="C225" s="302" t="s">
        <v>59</v>
      </c>
      <c r="D225" s="303"/>
      <c r="E225" s="303"/>
      <c r="F225" s="303"/>
      <c r="G225" s="303"/>
      <c r="H225" s="303"/>
      <c r="I225" s="303"/>
      <c r="J225" s="303"/>
      <c r="K225" s="303"/>
      <c r="L225" s="303"/>
      <c r="M225" s="303"/>
      <c r="N225" s="303"/>
      <c r="O225" s="303"/>
      <c r="P225" s="303"/>
      <c r="Q225" s="303"/>
      <c r="R225" s="303"/>
      <c r="S225" s="303"/>
      <c r="T225" s="303"/>
      <c r="U225" s="303"/>
      <c r="V225" s="303"/>
      <c r="W225" s="303"/>
      <c r="X225" s="303"/>
      <c r="Y225" s="303"/>
      <c r="Z225" s="303"/>
      <c r="AA225" s="303"/>
      <c r="AB225" s="303"/>
      <c r="AC225" s="303"/>
      <c r="AD225" s="303"/>
      <c r="AE225" s="303"/>
      <c r="AF225" s="303"/>
      <c r="AG225" s="303"/>
      <c r="AH225" s="303"/>
      <c r="AI225" s="303"/>
      <c r="AJ225" s="303"/>
      <c r="AK225" s="303"/>
      <c r="AL225" s="303"/>
      <c r="AM225" s="303"/>
      <c r="AN225" s="304"/>
    </row>
    <row r="226" spans="2:40" ht="15.75" hidden="1" customHeight="1" thickBot="1" x14ac:dyDescent="0.3">
      <c r="B226" s="305" t="s">
        <v>73</v>
      </c>
      <c r="C226" s="148" t="s">
        <v>49</v>
      </c>
      <c r="D226" s="126">
        <v>0</v>
      </c>
      <c r="E226" s="149">
        <f t="shared" ref="E226:AL226" si="39">D226+0.5</f>
        <v>0.5</v>
      </c>
      <c r="F226" s="149">
        <f t="shared" si="39"/>
        <v>1</v>
      </c>
      <c r="G226" s="149">
        <f t="shared" si="39"/>
        <v>1.5</v>
      </c>
      <c r="H226" s="149">
        <f t="shared" si="39"/>
        <v>2</v>
      </c>
      <c r="I226" s="149">
        <f t="shared" si="39"/>
        <v>2.5</v>
      </c>
      <c r="J226" s="149">
        <f t="shared" si="39"/>
        <v>3</v>
      </c>
      <c r="K226" s="149">
        <f t="shared" si="39"/>
        <v>3.5</v>
      </c>
      <c r="L226" s="149">
        <f t="shared" si="39"/>
        <v>4</v>
      </c>
      <c r="M226" s="149">
        <f t="shared" si="39"/>
        <v>4.5</v>
      </c>
      <c r="N226" s="149">
        <f t="shared" si="39"/>
        <v>5</v>
      </c>
      <c r="O226" s="149">
        <f t="shared" si="39"/>
        <v>5.5</v>
      </c>
      <c r="P226" s="149">
        <f t="shared" si="39"/>
        <v>6</v>
      </c>
      <c r="Q226" s="149">
        <f t="shared" si="39"/>
        <v>6.5</v>
      </c>
      <c r="R226" s="149">
        <f t="shared" si="39"/>
        <v>7</v>
      </c>
      <c r="S226" s="149">
        <f t="shared" si="39"/>
        <v>7.5</v>
      </c>
      <c r="T226" s="149">
        <f t="shared" si="39"/>
        <v>8</v>
      </c>
      <c r="U226" s="149">
        <f t="shared" si="39"/>
        <v>8.5</v>
      </c>
      <c r="V226" s="149">
        <f t="shared" si="39"/>
        <v>9</v>
      </c>
      <c r="W226" s="149">
        <f t="shared" si="39"/>
        <v>9.5</v>
      </c>
      <c r="X226" s="149">
        <f t="shared" si="39"/>
        <v>10</v>
      </c>
      <c r="Y226" s="149">
        <f t="shared" si="39"/>
        <v>10.5</v>
      </c>
      <c r="Z226" s="149">
        <f t="shared" si="39"/>
        <v>11</v>
      </c>
      <c r="AA226" s="149">
        <f t="shared" si="39"/>
        <v>11.5</v>
      </c>
      <c r="AB226" s="149">
        <f t="shared" si="39"/>
        <v>12</v>
      </c>
      <c r="AC226" s="149">
        <f t="shared" si="39"/>
        <v>12.5</v>
      </c>
      <c r="AD226" s="149">
        <f t="shared" si="39"/>
        <v>13</v>
      </c>
      <c r="AE226" s="149">
        <f t="shared" si="39"/>
        <v>13.5</v>
      </c>
      <c r="AF226" s="149">
        <f t="shared" si="39"/>
        <v>14</v>
      </c>
      <c r="AG226" s="149">
        <f t="shared" si="39"/>
        <v>14.5</v>
      </c>
      <c r="AH226" s="149">
        <f t="shared" si="39"/>
        <v>15</v>
      </c>
      <c r="AI226" s="149">
        <f t="shared" si="39"/>
        <v>15.5</v>
      </c>
      <c r="AJ226" s="149">
        <f t="shared" si="39"/>
        <v>16</v>
      </c>
      <c r="AK226" s="149">
        <f t="shared" si="39"/>
        <v>16.5</v>
      </c>
      <c r="AL226" s="149">
        <f t="shared" si="39"/>
        <v>17</v>
      </c>
      <c r="AM226" s="149"/>
      <c r="AN226" s="150"/>
    </row>
    <row r="227" spans="2:40" hidden="1" x14ac:dyDescent="0.25">
      <c r="B227" s="306"/>
      <c r="C227" s="133" t="s">
        <v>61</v>
      </c>
      <c r="D227" s="134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36"/>
    </row>
    <row r="228" spans="2:40" hidden="1" x14ac:dyDescent="0.25">
      <c r="B228" s="306"/>
      <c r="C228" s="133" t="s">
        <v>62</v>
      </c>
      <c r="D228" s="134" t="e">
        <f>-D244</f>
        <v>#REF!</v>
      </c>
      <c r="E228" s="151">
        <f>IF(MOD(E226,Comparaison!$D$45)=0,-$D244,0)</f>
        <v>0</v>
      </c>
      <c r="F228" s="151">
        <f>IF(MOD(F226,Comparaison!$D$45)=0,-$D244,0)</f>
        <v>0</v>
      </c>
      <c r="G228" s="151">
        <f>IF(MOD(G226,Comparaison!$D$45)=0,-$D244,0)</f>
        <v>0</v>
      </c>
      <c r="H228" s="151">
        <f>IF(MOD(H226,Comparaison!$D$45)=0,-$D244,0)</f>
        <v>0</v>
      </c>
      <c r="I228" s="151">
        <f>IF(MOD(I226,Comparaison!$D$45)=0,-$D244,0)</f>
        <v>0</v>
      </c>
      <c r="J228" s="151">
        <f>IF(MOD(J226,Comparaison!$D$45)=0,-$D244,0)</f>
        <v>0</v>
      </c>
      <c r="K228" s="151">
        <f>IF(MOD(K226,Comparaison!$D$45)=0,-$D244,0)</f>
        <v>0</v>
      </c>
      <c r="L228" s="151">
        <f>IF(MOD(L226,Comparaison!$D$45)=0,-$D244,0)</f>
        <v>0</v>
      </c>
      <c r="M228" s="151">
        <f>IF(MOD(M226,Comparaison!$D$45)=0,-$D244,0)</f>
        <v>0</v>
      </c>
      <c r="N228" s="151">
        <f>IF(MOD(N226,Comparaison!$D$45)=0,-$D244,0)</f>
        <v>0</v>
      </c>
      <c r="O228" s="151">
        <f>IF(MOD(O226,Comparaison!$D$45)=0,-$D244,0)</f>
        <v>0</v>
      </c>
      <c r="P228" s="151">
        <f>IF(MOD(P226,Comparaison!$D$45)=0,-$D244,0)</f>
        <v>0</v>
      </c>
      <c r="Q228" s="151">
        <f>IF(MOD(Q226,Comparaison!$D$45)=0,-$D244,0)</f>
        <v>0</v>
      </c>
      <c r="R228" s="151">
        <f>IF(MOD(R226,Comparaison!$D$45)=0,-$D244,0)</f>
        <v>0</v>
      </c>
      <c r="S228" s="151">
        <f>IF(MOD(S226,Comparaison!$D$45)=0,-$D244,0)</f>
        <v>0</v>
      </c>
      <c r="T228" s="151">
        <f>IF(MOD(T226,Comparaison!$D$45)=0,-$D244,0)</f>
        <v>0</v>
      </c>
      <c r="U228" s="151">
        <f>IF(MOD(U226,Comparaison!$D$45)=0,-$D244,0)</f>
        <v>0</v>
      </c>
      <c r="V228" s="151">
        <f>IF(MOD(V226,Comparaison!$D$45)=0,-$D244,0)</f>
        <v>0</v>
      </c>
      <c r="W228" s="151">
        <f>IF(MOD(W226,Comparaison!$D$45)=0,-$D244,0)</f>
        <v>0</v>
      </c>
      <c r="X228" s="151">
        <f>IF(MOD(X226,Comparaison!$D$45)=0,-$D244,0)</f>
        <v>0</v>
      </c>
      <c r="Y228" s="151">
        <f>IF(MOD(Y226,Comparaison!$D$45)=0,-$D244,0)</f>
        <v>0</v>
      </c>
      <c r="Z228" s="151">
        <f>IF(MOD(Z226,Comparaison!$D$45)=0,-$D244,0)</f>
        <v>0</v>
      </c>
      <c r="AA228" s="151">
        <f>IF(MOD(AA226,Comparaison!$D$45)=0,-$D244,0)</f>
        <v>0</v>
      </c>
      <c r="AB228" s="151" t="e">
        <f>IF(MOD(AB226,Comparaison!$D$45)=0,-$D244,0)</f>
        <v>#REF!</v>
      </c>
      <c r="AC228" s="151">
        <f>IF(MOD(AC226,Comparaison!$D$45)=0,-$D244,0)</f>
        <v>0</v>
      </c>
      <c r="AD228" s="151">
        <f>IF(MOD(AD226,Comparaison!$D$45)=0,-$D244,0)</f>
        <v>0</v>
      </c>
      <c r="AE228" s="151">
        <f>IF(MOD(AE226,Comparaison!$D$45)=0,-$D244,0)</f>
        <v>0</v>
      </c>
      <c r="AF228" s="151">
        <f>IF(MOD(AF226,Comparaison!$D$45)=0,-$D244,0)</f>
        <v>0</v>
      </c>
      <c r="AG228" s="151">
        <f>IF(MOD(AG226,Comparaison!$D$45)=0,-$D244,0)</f>
        <v>0</v>
      </c>
      <c r="AH228" s="151">
        <f>IF(MOD(AH226,Comparaison!$D$45)=0,-$D244,0)</f>
        <v>0</v>
      </c>
      <c r="AI228" s="151">
        <f>IF(MOD(AI226,Comparaison!$D$45)=0,-$D244,0)</f>
        <v>0</v>
      </c>
      <c r="AJ228" s="151">
        <f>IF(MOD(AJ226,Comparaison!$D$45)=0,-$D244,0)</f>
        <v>0</v>
      </c>
      <c r="AK228" s="151">
        <f>IF(MOD(AK226,Comparaison!$D$45)=0,-$D244,0)</f>
        <v>0</v>
      </c>
      <c r="AL228" s="151">
        <f>IF(MOD(AL226,Comparaison!$D$45)=0,-$D244,0)</f>
        <v>0</v>
      </c>
      <c r="AM228" s="151"/>
      <c r="AN228" s="136"/>
    </row>
    <row r="229" spans="2:40" hidden="1" x14ac:dyDescent="0.25">
      <c r="B229" s="306"/>
      <c r="C229" s="133" t="s">
        <v>71</v>
      </c>
      <c r="D229" s="134" t="e">
        <f>-$D246-$D243-$D247</f>
        <v>#REF!</v>
      </c>
      <c r="E229" s="151">
        <f>IF(MOD(E226,$D$138)=0,-$D246-$D243-$D248,0)</f>
        <v>0</v>
      </c>
      <c r="F229" s="151">
        <f t="shared" ref="F229:AL229" si="40">IF(MOD(F226,$D$138)=0,-$D246-$D243-$D247,0)</f>
        <v>0</v>
      </c>
      <c r="G229" s="151">
        <f t="shared" si="40"/>
        <v>0</v>
      </c>
      <c r="H229" s="151">
        <f t="shared" si="40"/>
        <v>0</v>
      </c>
      <c r="I229" s="151">
        <f t="shared" si="40"/>
        <v>0</v>
      </c>
      <c r="J229" s="151">
        <f t="shared" si="40"/>
        <v>0</v>
      </c>
      <c r="K229" s="151">
        <f t="shared" si="40"/>
        <v>0</v>
      </c>
      <c r="L229" s="151" t="e">
        <f t="shared" si="40"/>
        <v>#REF!</v>
      </c>
      <c r="M229" s="151">
        <f t="shared" si="40"/>
        <v>0</v>
      </c>
      <c r="N229" s="151">
        <f t="shared" si="40"/>
        <v>0</v>
      </c>
      <c r="O229" s="151">
        <f t="shared" si="40"/>
        <v>0</v>
      </c>
      <c r="P229" s="151">
        <f t="shared" si="40"/>
        <v>0</v>
      </c>
      <c r="Q229" s="151">
        <f t="shared" si="40"/>
        <v>0</v>
      </c>
      <c r="R229" s="151">
        <f t="shared" si="40"/>
        <v>0</v>
      </c>
      <c r="S229" s="151">
        <f t="shared" si="40"/>
        <v>0</v>
      </c>
      <c r="T229" s="151" t="e">
        <f t="shared" si="40"/>
        <v>#REF!</v>
      </c>
      <c r="U229" s="151">
        <f t="shared" si="40"/>
        <v>0</v>
      </c>
      <c r="V229" s="151">
        <f t="shared" si="40"/>
        <v>0</v>
      </c>
      <c r="W229" s="151">
        <f t="shared" si="40"/>
        <v>0</v>
      </c>
      <c r="X229" s="151">
        <f t="shared" si="40"/>
        <v>0</v>
      </c>
      <c r="Y229" s="151">
        <f t="shared" si="40"/>
        <v>0</v>
      </c>
      <c r="Z229" s="151">
        <f t="shared" si="40"/>
        <v>0</v>
      </c>
      <c r="AA229" s="151">
        <f t="shared" si="40"/>
        <v>0</v>
      </c>
      <c r="AB229" s="151" t="e">
        <f t="shared" si="40"/>
        <v>#REF!</v>
      </c>
      <c r="AC229" s="151">
        <f t="shared" si="40"/>
        <v>0</v>
      </c>
      <c r="AD229" s="151">
        <f t="shared" si="40"/>
        <v>0</v>
      </c>
      <c r="AE229" s="151">
        <f t="shared" si="40"/>
        <v>0</v>
      </c>
      <c r="AF229" s="151">
        <f t="shared" si="40"/>
        <v>0</v>
      </c>
      <c r="AG229" s="151">
        <f t="shared" si="40"/>
        <v>0</v>
      </c>
      <c r="AH229" s="151">
        <f t="shared" si="40"/>
        <v>0</v>
      </c>
      <c r="AI229" s="151">
        <f t="shared" si="40"/>
        <v>0</v>
      </c>
      <c r="AJ229" s="151" t="e">
        <f t="shared" si="40"/>
        <v>#REF!</v>
      </c>
      <c r="AK229" s="151">
        <f t="shared" si="40"/>
        <v>0</v>
      </c>
      <c r="AL229" s="151">
        <f t="shared" si="40"/>
        <v>0</v>
      </c>
      <c r="AM229" s="151"/>
      <c r="AN229" s="136"/>
    </row>
    <row r="230" spans="2:40" hidden="1" x14ac:dyDescent="0.25">
      <c r="B230" s="306"/>
      <c r="C230" s="133" t="s">
        <v>63</v>
      </c>
      <c r="D230" s="134" t="e">
        <f>-D245</f>
        <v>#REF!</v>
      </c>
      <c r="E230" s="151">
        <f t="shared" ref="E230:AL230" si="41">IF(MOD(E226,$D$137)=0,-$D245,0)</f>
        <v>0</v>
      </c>
      <c r="F230" s="151">
        <f t="shared" si="41"/>
        <v>0</v>
      </c>
      <c r="G230" s="151">
        <f t="shared" si="41"/>
        <v>0</v>
      </c>
      <c r="H230" s="151">
        <f t="shared" si="41"/>
        <v>0</v>
      </c>
      <c r="I230" s="151">
        <f t="shared" si="41"/>
        <v>0</v>
      </c>
      <c r="J230" s="151">
        <f t="shared" si="41"/>
        <v>0</v>
      </c>
      <c r="K230" s="151">
        <f t="shared" si="41"/>
        <v>0</v>
      </c>
      <c r="L230" s="151">
        <f t="shared" si="41"/>
        <v>0</v>
      </c>
      <c r="M230" s="151">
        <f t="shared" si="41"/>
        <v>0</v>
      </c>
      <c r="N230" s="151">
        <f t="shared" si="41"/>
        <v>0</v>
      </c>
      <c r="O230" s="151">
        <f t="shared" si="41"/>
        <v>0</v>
      </c>
      <c r="P230" s="151">
        <f t="shared" si="41"/>
        <v>0</v>
      </c>
      <c r="Q230" s="151">
        <f t="shared" si="41"/>
        <v>0</v>
      </c>
      <c r="R230" s="151">
        <f t="shared" si="41"/>
        <v>0</v>
      </c>
      <c r="S230" s="151">
        <f t="shared" si="41"/>
        <v>0</v>
      </c>
      <c r="T230" s="151">
        <f t="shared" si="41"/>
        <v>0</v>
      </c>
      <c r="U230" s="151">
        <f t="shared" si="41"/>
        <v>0</v>
      </c>
      <c r="V230" s="151">
        <f t="shared" si="41"/>
        <v>0</v>
      </c>
      <c r="W230" s="151">
        <f t="shared" si="41"/>
        <v>0</v>
      </c>
      <c r="X230" s="151">
        <f t="shared" si="41"/>
        <v>0</v>
      </c>
      <c r="Y230" s="151">
        <f t="shared" si="41"/>
        <v>0</v>
      </c>
      <c r="Z230" s="151">
        <f t="shared" si="41"/>
        <v>0</v>
      </c>
      <c r="AA230" s="151">
        <f t="shared" si="41"/>
        <v>0</v>
      </c>
      <c r="AB230" s="151" t="e">
        <f t="shared" si="41"/>
        <v>#REF!</v>
      </c>
      <c r="AC230" s="151">
        <f t="shared" si="41"/>
        <v>0</v>
      </c>
      <c r="AD230" s="151">
        <f t="shared" si="41"/>
        <v>0</v>
      </c>
      <c r="AE230" s="151">
        <f t="shared" si="41"/>
        <v>0</v>
      </c>
      <c r="AF230" s="151">
        <f t="shared" si="41"/>
        <v>0</v>
      </c>
      <c r="AG230" s="151">
        <f t="shared" si="41"/>
        <v>0</v>
      </c>
      <c r="AH230" s="151">
        <f t="shared" si="41"/>
        <v>0</v>
      </c>
      <c r="AI230" s="151">
        <f t="shared" si="41"/>
        <v>0</v>
      </c>
      <c r="AJ230" s="151">
        <f t="shared" si="41"/>
        <v>0</v>
      </c>
      <c r="AK230" s="151">
        <f t="shared" si="41"/>
        <v>0</v>
      </c>
      <c r="AL230" s="151">
        <f t="shared" si="41"/>
        <v>0</v>
      </c>
      <c r="AM230" s="151"/>
      <c r="AN230" s="136"/>
    </row>
    <row r="231" spans="2:40" hidden="1" x14ac:dyDescent="0.25">
      <c r="B231" s="306"/>
      <c r="C231" s="133"/>
      <c r="D231" s="134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36"/>
    </row>
    <row r="232" spans="2:40" hidden="1" x14ac:dyDescent="0.25">
      <c r="B232" s="306"/>
      <c r="C232" s="133" t="s">
        <v>68</v>
      </c>
      <c r="D232" s="134" t="e">
        <f>-D248</f>
        <v>#REF!</v>
      </c>
      <c r="E232" s="151">
        <f t="shared" ref="E232:AL232" si="42">IF(SUM(E228:E231)&lt;0, SUM(E228:E231)*0.2, 0)</f>
        <v>0</v>
      </c>
      <c r="F232" s="151">
        <f t="shared" si="42"/>
        <v>0</v>
      </c>
      <c r="G232" s="151">
        <f t="shared" si="42"/>
        <v>0</v>
      </c>
      <c r="H232" s="151">
        <f t="shared" si="42"/>
        <v>0</v>
      </c>
      <c r="I232" s="151">
        <f t="shared" si="42"/>
        <v>0</v>
      </c>
      <c r="J232" s="151">
        <f t="shared" si="42"/>
        <v>0</v>
      </c>
      <c r="K232" s="151">
        <f t="shared" si="42"/>
        <v>0</v>
      </c>
      <c r="L232" s="151" t="e">
        <f t="shared" si="42"/>
        <v>#REF!</v>
      </c>
      <c r="M232" s="151">
        <f t="shared" si="42"/>
        <v>0</v>
      </c>
      <c r="N232" s="151">
        <f t="shared" si="42"/>
        <v>0</v>
      </c>
      <c r="O232" s="151">
        <f t="shared" si="42"/>
        <v>0</v>
      </c>
      <c r="P232" s="151">
        <f t="shared" si="42"/>
        <v>0</v>
      </c>
      <c r="Q232" s="151">
        <f t="shared" si="42"/>
        <v>0</v>
      </c>
      <c r="R232" s="151">
        <f t="shared" si="42"/>
        <v>0</v>
      </c>
      <c r="S232" s="151">
        <f t="shared" si="42"/>
        <v>0</v>
      </c>
      <c r="T232" s="151" t="e">
        <f t="shared" si="42"/>
        <v>#REF!</v>
      </c>
      <c r="U232" s="151">
        <f t="shared" si="42"/>
        <v>0</v>
      </c>
      <c r="V232" s="151">
        <f t="shared" si="42"/>
        <v>0</v>
      </c>
      <c r="W232" s="151">
        <f t="shared" si="42"/>
        <v>0</v>
      </c>
      <c r="X232" s="151">
        <f t="shared" si="42"/>
        <v>0</v>
      </c>
      <c r="Y232" s="151">
        <f t="shared" si="42"/>
        <v>0</v>
      </c>
      <c r="Z232" s="151">
        <f t="shared" si="42"/>
        <v>0</v>
      </c>
      <c r="AA232" s="151">
        <f t="shared" si="42"/>
        <v>0</v>
      </c>
      <c r="AB232" s="151" t="e">
        <f t="shared" si="42"/>
        <v>#REF!</v>
      </c>
      <c r="AC232" s="151">
        <f t="shared" si="42"/>
        <v>0</v>
      </c>
      <c r="AD232" s="151">
        <f t="shared" si="42"/>
        <v>0</v>
      </c>
      <c r="AE232" s="151">
        <f t="shared" si="42"/>
        <v>0</v>
      </c>
      <c r="AF232" s="151">
        <f t="shared" si="42"/>
        <v>0</v>
      </c>
      <c r="AG232" s="151">
        <f t="shared" si="42"/>
        <v>0</v>
      </c>
      <c r="AH232" s="151">
        <f t="shared" si="42"/>
        <v>0</v>
      </c>
      <c r="AI232" s="151">
        <f t="shared" si="42"/>
        <v>0</v>
      </c>
      <c r="AJ232" s="151" t="e">
        <f t="shared" si="42"/>
        <v>#REF!</v>
      </c>
      <c r="AK232" s="151">
        <f t="shared" si="42"/>
        <v>0</v>
      </c>
      <c r="AL232" s="151">
        <f t="shared" si="42"/>
        <v>0</v>
      </c>
      <c r="AM232" s="151"/>
      <c r="AN232" s="136"/>
    </row>
    <row r="233" spans="2:40" hidden="1" x14ac:dyDescent="0.25">
      <c r="B233" s="306"/>
      <c r="C233" s="133" t="s">
        <v>58</v>
      </c>
      <c r="D233" s="134"/>
      <c r="E233" s="151">
        <f t="shared" ref="E233:AL233" si="43">-($D$45/100*$D$135*$D$47)/2</f>
        <v>-196.00000000000003</v>
      </c>
      <c r="F233" s="151">
        <f t="shared" si="43"/>
        <v>-196.00000000000003</v>
      </c>
      <c r="G233" s="151">
        <f t="shared" si="43"/>
        <v>-196.00000000000003</v>
      </c>
      <c r="H233" s="151">
        <f t="shared" si="43"/>
        <v>-196.00000000000003</v>
      </c>
      <c r="I233" s="151">
        <f t="shared" si="43"/>
        <v>-196.00000000000003</v>
      </c>
      <c r="J233" s="151">
        <f t="shared" si="43"/>
        <v>-196.00000000000003</v>
      </c>
      <c r="K233" s="151">
        <f t="shared" si="43"/>
        <v>-196.00000000000003</v>
      </c>
      <c r="L233" s="151">
        <f t="shared" si="43"/>
        <v>-196.00000000000003</v>
      </c>
      <c r="M233" s="151">
        <f t="shared" si="43"/>
        <v>-196.00000000000003</v>
      </c>
      <c r="N233" s="151">
        <f t="shared" si="43"/>
        <v>-196.00000000000003</v>
      </c>
      <c r="O233" s="151">
        <f t="shared" si="43"/>
        <v>-196.00000000000003</v>
      </c>
      <c r="P233" s="151">
        <f t="shared" si="43"/>
        <v>-196.00000000000003</v>
      </c>
      <c r="Q233" s="151">
        <f t="shared" si="43"/>
        <v>-196.00000000000003</v>
      </c>
      <c r="R233" s="151">
        <f t="shared" si="43"/>
        <v>-196.00000000000003</v>
      </c>
      <c r="S233" s="151">
        <f t="shared" si="43"/>
        <v>-196.00000000000003</v>
      </c>
      <c r="T233" s="151">
        <f t="shared" si="43"/>
        <v>-196.00000000000003</v>
      </c>
      <c r="U233" s="151">
        <f t="shared" si="43"/>
        <v>-196.00000000000003</v>
      </c>
      <c r="V233" s="151">
        <f t="shared" si="43"/>
        <v>-196.00000000000003</v>
      </c>
      <c r="W233" s="151">
        <f t="shared" si="43"/>
        <v>-196.00000000000003</v>
      </c>
      <c r="X233" s="151">
        <f t="shared" si="43"/>
        <v>-196.00000000000003</v>
      </c>
      <c r="Y233" s="151">
        <f t="shared" si="43"/>
        <v>-196.00000000000003</v>
      </c>
      <c r="Z233" s="151">
        <f t="shared" si="43"/>
        <v>-196.00000000000003</v>
      </c>
      <c r="AA233" s="151">
        <f t="shared" si="43"/>
        <v>-196.00000000000003</v>
      </c>
      <c r="AB233" s="151">
        <f t="shared" si="43"/>
        <v>-196.00000000000003</v>
      </c>
      <c r="AC233" s="151">
        <f t="shared" si="43"/>
        <v>-196.00000000000003</v>
      </c>
      <c r="AD233" s="151">
        <f t="shared" si="43"/>
        <v>-196.00000000000003</v>
      </c>
      <c r="AE233" s="151">
        <f t="shared" si="43"/>
        <v>-196.00000000000003</v>
      </c>
      <c r="AF233" s="151">
        <f t="shared" si="43"/>
        <v>-196.00000000000003</v>
      </c>
      <c r="AG233" s="151">
        <f t="shared" si="43"/>
        <v>-196.00000000000003</v>
      </c>
      <c r="AH233" s="151">
        <f t="shared" si="43"/>
        <v>-196.00000000000003</v>
      </c>
      <c r="AI233" s="151">
        <f t="shared" si="43"/>
        <v>-196.00000000000003</v>
      </c>
      <c r="AJ233" s="151">
        <f t="shared" si="43"/>
        <v>-196.00000000000003</v>
      </c>
      <c r="AK233" s="151">
        <f t="shared" si="43"/>
        <v>-196.00000000000003</v>
      </c>
      <c r="AL233" s="151">
        <f t="shared" si="43"/>
        <v>-196.00000000000003</v>
      </c>
      <c r="AM233" s="151"/>
      <c r="AN233" s="136"/>
    </row>
    <row r="234" spans="2:40" hidden="1" x14ac:dyDescent="0.25">
      <c r="B234" s="306"/>
      <c r="C234" s="133" t="s">
        <v>53</v>
      </c>
      <c r="D234" s="134"/>
      <c r="E234" s="151">
        <f t="shared" ref="E234:AL234" si="44">-($D$54*$D$45)*(1-$D$134)/2</f>
        <v>-200.09999999999997</v>
      </c>
      <c r="F234" s="151">
        <f t="shared" si="44"/>
        <v>-200.09999999999997</v>
      </c>
      <c r="G234" s="151">
        <f t="shared" si="44"/>
        <v>-200.09999999999997</v>
      </c>
      <c r="H234" s="151">
        <f t="shared" si="44"/>
        <v>-200.09999999999997</v>
      </c>
      <c r="I234" s="151">
        <f t="shared" si="44"/>
        <v>-200.09999999999997</v>
      </c>
      <c r="J234" s="151">
        <f t="shared" si="44"/>
        <v>-200.09999999999997</v>
      </c>
      <c r="K234" s="151">
        <f t="shared" si="44"/>
        <v>-200.09999999999997</v>
      </c>
      <c r="L234" s="151">
        <f t="shared" si="44"/>
        <v>-200.09999999999997</v>
      </c>
      <c r="M234" s="151">
        <f t="shared" si="44"/>
        <v>-200.09999999999997</v>
      </c>
      <c r="N234" s="151">
        <f t="shared" si="44"/>
        <v>-200.09999999999997</v>
      </c>
      <c r="O234" s="151">
        <f t="shared" si="44"/>
        <v>-200.09999999999997</v>
      </c>
      <c r="P234" s="151">
        <f t="shared" si="44"/>
        <v>-200.09999999999997</v>
      </c>
      <c r="Q234" s="151">
        <f t="shared" si="44"/>
        <v>-200.09999999999997</v>
      </c>
      <c r="R234" s="151">
        <f t="shared" si="44"/>
        <v>-200.09999999999997</v>
      </c>
      <c r="S234" s="151">
        <f t="shared" si="44"/>
        <v>-200.09999999999997</v>
      </c>
      <c r="T234" s="151">
        <f t="shared" si="44"/>
        <v>-200.09999999999997</v>
      </c>
      <c r="U234" s="151">
        <f t="shared" si="44"/>
        <v>-200.09999999999997</v>
      </c>
      <c r="V234" s="151">
        <f t="shared" si="44"/>
        <v>-200.09999999999997</v>
      </c>
      <c r="W234" s="151">
        <f t="shared" si="44"/>
        <v>-200.09999999999997</v>
      </c>
      <c r="X234" s="151">
        <f t="shared" si="44"/>
        <v>-200.09999999999997</v>
      </c>
      <c r="Y234" s="151">
        <f t="shared" si="44"/>
        <v>-200.09999999999997</v>
      </c>
      <c r="Z234" s="151">
        <f t="shared" si="44"/>
        <v>-200.09999999999997</v>
      </c>
      <c r="AA234" s="151">
        <f t="shared" si="44"/>
        <v>-200.09999999999997</v>
      </c>
      <c r="AB234" s="151">
        <f t="shared" si="44"/>
        <v>-200.09999999999997</v>
      </c>
      <c r="AC234" s="151">
        <f t="shared" si="44"/>
        <v>-200.09999999999997</v>
      </c>
      <c r="AD234" s="151">
        <f t="shared" si="44"/>
        <v>-200.09999999999997</v>
      </c>
      <c r="AE234" s="151">
        <f t="shared" si="44"/>
        <v>-200.09999999999997</v>
      </c>
      <c r="AF234" s="151">
        <f t="shared" si="44"/>
        <v>-200.09999999999997</v>
      </c>
      <c r="AG234" s="151">
        <f t="shared" si="44"/>
        <v>-200.09999999999997</v>
      </c>
      <c r="AH234" s="151">
        <f t="shared" si="44"/>
        <v>-200.09999999999997</v>
      </c>
      <c r="AI234" s="151">
        <f t="shared" si="44"/>
        <v>-200.09999999999997</v>
      </c>
      <c r="AJ234" s="151">
        <f t="shared" si="44"/>
        <v>-200.09999999999997</v>
      </c>
      <c r="AK234" s="151">
        <f t="shared" si="44"/>
        <v>-200.09999999999997</v>
      </c>
      <c r="AL234" s="151">
        <f t="shared" si="44"/>
        <v>-200.09999999999997</v>
      </c>
      <c r="AM234" s="151"/>
      <c r="AN234" s="136"/>
    </row>
    <row r="235" spans="2:40" hidden="1" x14ac:dyDescent="0.25">
      <c r="B235" s="306"/>
      <c r="C235" s="133">
        <f>$C$133</f>
        <v>0</v>
      </c>
      <c r="D235" s="134">
        <f>Comparaison!$D$39/6</f>
        <v>0</v>
      </c>
      <c r="E235" s="151">
        <f>Comparaison!$D$39/6</f>
        <v>0</v>
      </c>
      <c r="F235" s="134">
        <f>Comparaison!$D$39/6</f>
        <v>0</v>
      </c>
      <c r="G235" s="134">
        <f>Comparaison!$D$39/6</f>
        <v>0</v>
      </c>
      <c r="H235" s="134">
        <f>Comparaison!$D$39/6</f>
        <v>0</v>
      </c>
      <c r="I235" s="134">
        <f>Comparaison!$D$39/6</f>
        <v>0</v>
      </c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6"/>
    </row>
    <row r="236" spans="2:40" ht="15.75" hidden="1" customHeight="1" thickBot="1" x14ac:dyDescent="0.3">
      <c r="B236" s="306"/>
      <c r="C236" s="133" t="s">
        <v>48</v>
      </c>
      <c r="D236" s="134">
        <f>-D249</f>
        <v>0</v>
      </c>
      <c r="E236" s="151">
        <v>0</v>
      </c>
      <c r="F236" s="151">
        <v>0</v>
      </c>
      <c r="G236" s="134">
        <v>0</v>
      </c>
      <c r="H236" s="134">
        <v>0</v>
      </c>
      <c r="I236" s="134">
        <v>0</v>
      </c>
      <c r="J236" s="134">
        <v>0</v>
      </c>
      <c r="K236" s="134">
        <v>0</v>
      </c>
      <c r="L236" s="134">
        <v>0</v>
      </c>
      <c r="M236" s="134">
        <v>0</v>
      </c>
      <c r="N236" s="134">
        <v>0</v>
      </c>
      <c r="O236" s="134">
        <v>0</v>
      </c>
      <c r="P236" s="134">
        <v>0</v>
      </c>
      <c r="Q236" s="134">
        <v>0</v>
      </c>
      <c r="R236" s="134">
        <v>0</v>
      </c>
      <c r="S236" s="134">
        <v>0</v>
      </c>
      <c r="T236" s="134">
        <v>0</v>
      </c>
      <c r="U236" s="134">
        <v>0</v>
      </c>
      <c r="V236" s="134">
        <v>0</v>
      </c>
      <c r="W236" s="134">
        <v>0</v>
      </c>
      <c r="X236" s="134">
        <v>0</v>
      </c>
      <c r="Y236" s="134">
        <v>0</v>
      </c>
      <c r="Z236" s="134">
        <v>0</v>
      </c>
      <c r="AA236" s="134">
        <v>0</v>
      </c>
      <c r="AB236" s="134">
        <v>0</v>
      </c>
      <c r="AC236" s="134">
        <v>0</v>
      </c>
      <c r="AD236" s="134">
        <v>0</v>
      </c>
      <c r="AE236" s="134">
        <v>0</v>
      </c>
      <c r="AF236" s="134">
        <v>0</v>
      </c>
      <c r="AG236" s="134">
        <v>0</v>
      </c>
      <c r="AH236" s="134">
        <v>0</v>
      </c>
      <c r="AI236" s="134">
        <v>0</v>
      </c>
      <c r="AJ236" s="134">
        <v>0</v>
      </c>
      <c r="AK236" s="134">
        <v>0</v>
      </c>
      <c r="AL236" s="134">
        <v>0</v>
      </c>
      <c r="AM236" s="134"/>
      <c r="AN236" s="136"/>
    </row>
    <row r="237" spans="2:40" ht="15.75" hidden="1" thickTop="1" x14ac:dyDescent="0.25">
      <c r="B237" s="306"/>
      <c r="C237" s="152" t="s">
        <v>54</v>
      </c>
      <c r="D237" s="153" t="e">
        <f>IF(D226+0.5&lt;Comparaison!$D$45,SUM(D227:D236),)</f>
        <v>#REF!</v>
      </c>
      <c r="E237" s="153">
        <f>IF(E226+0.5&lt;=Comparaison!$D$45,SUM(E227:E236),)</f>
        <v>-396.1</v>
      </c>
      <c r="F237" s="153">
        <f>IF(F226+0.5&lt;=Comparaison!$D$45,SUM(F227:F236),)</f>
        <v>-396.1</v>
      </c>
      <c r="G237" s="153">
        <f>IF(G226+0.5&lt;=Comparaison!$D$45,SUM(G227:G236),)</f>
        <v>-396.1</v>
      </c>
      <c r="H237" s="153">
        <f>IF(H226+0.5&lt;=Comparaison!$D$45,SUM(H227:H236),)</f>
        <v>-396.1</v>
      </c>
      <c r="I237" s="153">
        <f>IF(I226+0.5&lt;=Comparaison!$D$45,SUM(I227:I236),)</f>
        <v>-396.1</v>
      </c>
      <c r="J237" s="153">
        <f>IF(J226+0.5&lt;=Comparaison!$D$45,SUM(J227:J236),)</f>
        <v>-396.1</v>
      </c>
      <c r="K237" s="153">
        <f>IF(K226+0.5&lt;=Comparaison!$D$45,SUM(K227:K236),)</f>
        <v>-396.1</v>
      </c>
      <c r="L237" s="153" t="e">
        <f>IF(L226+0.5&lt;=Comparaison!$D$45,SUM(L227:L236),)</f>
        <v>#REF!</v>
      </c>
      <c r="M237" s="153">
        <f>IF(M226+0.5&lt;=Comparaison!$D$45,SUM(M227:M236),)</f>
        <v>-396.1</v>
      </c>
      <c r="N237" s="153">
        <f>IF(N226+0.5&lt;=Comparaison!$D$45,SUM(N227:N236),)</f>
        <v>-396.1</v>
      </c>
      <c r="O237" s="153">
        <f>IF(O226+0.5&lt;=Comparaison!$D$45,SUM(O227:O236),)</f>
        <v>-396.1</v>
      </c>
      <c r="P237" s="153">
        <f>IF(P226+0.5&lt;=Comparaison!$D$45,SUM(P227:P236),)</f>
        <v>-396.1</v>
      </c>
      <c r="Q237" s="153">
        <f>IF(Q226+0.5&lt;=Comparaison!$D$45,SUM(Q227:Q236),)</f>
        <v>-396.1</v>
      </c>
      <c r="R237" s="153">
        <f>IF(R226+0.5&lt;=Comparaison!$D$45,SUM(R227:R236),)</f>
        <v>-396.1</v>
      </c>
      <c r="S237" s="153">
        <f>IF(S226+0.5&lt;=Comparaison!$D$45,SUM(S227:S236),)</f>
        <v>-396.1</v>
      </c>
      <c r="T237" s="153" t="e">
        <f>IF(T226+0.5&lt;=Comparaison!$D$45,SUM(T227:T236),)</f>
        <v>#REF!</v>
      </c>
      <c r="U237" s="153">
        <f>IF(U226+0.5&lt;=Comparaison!$D$45,SUM(U227:U236),)</f>
        <v>-396.1</v>
      </c>
      <c r="V237" s="153">
        <f>IF(V226+0.5&lt;=Comparaison!$D$45,SUM(V227:V236),)</f>
        <v>-396.1</v>
      </c>
      <c r="W237" s="153">
        <f>IF(W226+0.5&lt;=Comparaison!$D$45,SUM(W227:W236),)</f>
        <v>-396.1</v>
      </c>
      <c r="X237" s="153">
        <f>IF(X226+0.5&lt;=Comparaison!$D$45,SUM(X227:X236),)</f>
        <v>-396.1</v>
      </c>
      <c r="Y237" s="153">
        <f>IF(Y226+0.5&lt;=Comparaison!$D$45,SUM(Y227:Y236),)</f>
        <v>-396.1</v>
      </c>
      <c r="Z237" s="153">
        <f>IF(Z226+0.5&lt;=Comparaison!$D$45,SUM(Z227:Z236),)</f>
        <v>-396.1</v>
      </c>
      <c r="AA237" s="153">
        <f>IF(AA226+0.5&lt;=Comparaison!$D$45,SUM(AA227:AA236),)</f>
        <v>-396.1</v>
      </c>
      <c r="AB237" s="153">
        <f>IF(AB226+0.5&lt;=Comparaison!$D$45,SUM(AB227:AB236),)</f>
        <v>0</v>
      </c>
      <c r="AC237" s="153">
        <f>IF(AC226+0.5&lt;=Comparaison!$D$45,SUM(AC227:AC236),)</f>
        <v>0</v>
      </c>
      <c r="AD237" s="153">
        <f>IF(AD226+0.5&lt;=Comparaison!$D$45,SUM(AD227:AD236),)</f>
        <v>0</v>
      </c>
      <c r="AE237" s="153">
        <f>IF(AE226+0.5&lt;=Comparaison!$D$45,SUM(AE227:AE236),)</f>
        <v>0</v>
      </c>
      <c r="AF237" s="153">
        <f>IF(AF226+0.5&lt;=Comparaison!$D$45,SUM(AF227:AF236),)</f>
        <v>0</v>
      </c>
      <c r="AG237" s="153">
        <f>IF(AG226+0.5&lt;=Comparaison!$D$45,SUM(AG227:AG236),)</f>
        <v>0</v>
      </c>
      <c r="AH237" s="153">
        <f>IF(AH226+0.5&lt;=Comparaison!$D$45,SUM(AH227:AH236),)</f>
        <v>0</v>
      </c>
      <c r="AI237" s="153">
        <f>IF(AI226+0.5&lt;=Comparaison!$D$45,SUM(AI227:AI236),)</f>
        <v>0</v>
      </c>
      <c r="AJ237" s="153">
        <f>IF(AJ226+0.5&lt;=Comparaison!$D$45,SUM(AJ227:AJ236),)</f>
        <v>0</v>
      </c>
      <c r="AK237" s="153">
        <f>IF(AK226+0.5&lt;=Comparaison!$D$45,SUM(AK227:AK236),)</f>
        <v>0</v>
      </c>
      <c r="AL237" s="153">
        <f>IF(AL226+0.5&lt;=Comparaison!$D$45,SUM(AL227:AL236),)</f>
        <v>0</v>
      </c>
      <c r="AM237" s="153"/>
      <c r="AN237" s="154"/>
    </row>
    <row r="238" spans="2:40" s="50" customFormat="1" hidden="1" x14ac:dyDescent="0.25">
      <c r="B238" s="306"/>
      <c r="C238" s="155" t="s">
        <v>64</v>
      </c>
      <c r="D238" s="156">
        <f>(1+Comparaison!$D$17)^0.5-1</f>
        <v>0</v>
      </c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8"/>
    </row>
    <row r="239" spans="2:40" s="50" customFormat="1" hidden="1" x14ac:dyDescent="0.25">
      <c r="B239" s="306"/>
      <c r="C239" s="159" t="s">
        <v>55</v>
      </c>
      <c r="D239" s="160" t="e">
        <f>D237+NPV(D238,E237:AN237)</f>
        <v>#REF!</v>
      </c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8"/>
    </row>
    <row r="240" spans="2:40" s="50" customFormat="1" ht="15.75" hidden="1" thickBot="1" x14ac:dyDescent="0.3">
      <c r="B240" s="307"/>
      <c r="C240" s="161" t="s">
        <v>56</v>
      </c>
      <c r="D240" s="162" t="e">
        <f>PMT(Comparaison!$D$17,Comparaison!$D$45,D239,0)</f>
        <v>#REF!</v>
      </c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  <c r="AG240" s="163"/>
      <c r="AH240" s="163"/>
      <c r="AI240" s="163"/>
      <c r="AJ240" s="163"/>
      <c r="AK240" s="163"/>
      <c r="AL240" s="163"/>
      <c r="AM240" s="163"/>
      <c r="AN240" s="164"/>
    </row>
    <row r="241" spans="2:40" ht="15.75" hidden="1" thickBot="1" x14ac:dyDescent="0.3"/>
    <row r="242" spans="2:40" hidden="1" x14ac:dyDescent="0.25">
      <c r="C242" s="171" t="str">
        <f t="shared" ref="C242:C249" si="45">C124</f>
        <v>Valeur résiduelle du camion après 6 ans ($)</v>
      </c>
      <c r="D242" s="74" t="e">
        <f>#REF!</f>
        <v>#REF!</v>
      </c>
      <c r="E242" s="174" t="s">
        <v>69</v>
      </c>
    </row>
    <row r="243" spans="2:40" hidden="1" x14ac:dyDescent="0.25">
      <c r="C243" s="33">
        <f t="shared" si="45"/>
        <v>0</v>
      </c>
      <c r="D243" s="29" t="e">
        <f>D125*(1-E243)</f>
        <v>#REF!</v>
      </c>
      <c r="E243" s="178" t="e">
        <f>1-'Feuille de calcul'!C577/'Feuille de calcul'!$C$573</f>
        <v>#REF!</v>
      </c>
    </row>
    <row r="244" spans="2:40" hidden="1" x14ac:dyDescent="0.25">
      <c r="C244" s="33" t="e">
        <f t="shared" si="45"/>
        <v>#REF!</v>
      </c>
      <c r="D244" s="29" t="e">
        <f>D126*(1-$E$243)</f>
        <v>#REF!</v>
      </c>
    </row>
    <row r="245" spans="2:40" hidden="1" x14ac:dyDescent="0.25">
      <c r="C245" s="33" t="str">
        <f t="shared" si="45"/>
        <v>Estimation $ de remplacement des batteries après 12 ans</v>
      </c>
      <c r="D245" s="29" t="e">
        <f>D127*(1-$E$243)</f>
        <v>#REF!</v>
      </c>
    </row>
    <row r="246" spans="2:40" hidden="1" x14ac:dyDescent="0.25">
      <c r="C246" s="33" t="str">
        <f t="shared" si="45"/>
        <v xml:space="preserve">Costs of resettlement  </v>
      </c>
      <c r="D246" s="29" t="e">
        <f>D128*(1-$E$243)</f>
        <v>#REF!</v>
      </c>
    </row>
    <row r="247" spans="2:40" hidden="1" x14ac:dyDescent="0.25">
      <c r="C247" s="33" t="str">
        <f t="shared" si="45"/>
        <v>Coût de la réinstallation</v>
      </c>
      <c r="D247" s="29" t="e">
        <f>D129*(1-$E$243)</f>
        <v>#REF!</v>
      </c>
    </row>
    <row r="248" spans="2:40" hidden="1" x14ac:dyDescent="0.25">
      <c r="C248" s="33" t="e">
        <f t="shared" si="45"/>
        <v>#REF!</v>
      </c>
      <c r="D248" s="29" t="e">
        <f>'Feuille de calcul'!D577</f>
        <v>#REF!</v>
      </c>
    </row>
    <row r="249" spans="2:40" hidden="1" x14ac:dyDescent="0.25">
      <c r="C249" s="33">
        <f t="shared" si="45"/>
        <v>0</v>
      </c>
      <c r="D249" s="29">
        <f>'Feuille de calcul'!F577</f>
        <v>0</v>
      </c>
      <c r="F249" s="174"/>
      <c r="G249" s="174"/>
    </row>
    <row r="250" spans="2:40" hidden="1" x14ac:dyDescent="0.25">
      <c r="C250" s="33"/>
      <c r="D250" s="31"/>
      <c r="F250" s="174"/>
    </row>
    <row r="251" spans="2:40" hidden="1" x14ac:dyDescent="0.25">
      <c r="F251" s="174"/>
    </row>
    <row r="252" spans="2:40" ht="15.75" hidden="1" thickBot="1" x14ac:dyDescent="0.3"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</row>
    <row r="253" spans="2:40" ht="15.75" hidden="1" thickBot="1" x14ac:dyDescent="0.3">
      <c r="B253" s="123"/>
      <c r="C253" s="302" t="s">
        <v>59</v>
      </c>
      <c r="D253" s="303"/>
      <c r="E253" s="303"/>
      <c r="F253" s="303"/>
      <c r="G253" s="303"/>
      <c r="H253" s="303"/>
      <c r="I253" s="303"/>
      <c r="J253" s="303"/>
      <c r="K253" s="303"/>
      <c r="L253" s="303"/>
      <c r="M253" s="303"/>
      <c r="N253" s="303"/>
      <c r="O253" s="303"/>
      <c r="P253" s="303"/>
      <c r="Q253" s="303"/>
      <c r="R253" s="303"/>
      <c r="S253" s="303"/>
      <c r="T253" s="303"/>
      <c r="U253" s="303"/>
      <c r="V253" s="303"/>
      <c r="W253" s="303"/>
      <c r="X253" s="303"/>
      <c r="Y253" s="303"/>
      <c r="Z253" s="303"/>
      <c r="AA253" s="303"/>
      <c r="AB253" s="303"/>
      <c r="AC253" s="303"/>
      <c r="AD253" s="303"/>
      <c r="AE253" s="303"/>
      <c r="AF253" s="303"/>
      <c r="AG253" s="303"/>
      <c r="AH253" s="303"/>
      <c r="AI253" s="303"/>
      <c r="AJ253" s="303"/>
      <c r="AK253" s="303"/>
      <c r="AL253" s="303"/>
      <c r="AM253" s="303"/>
      <c r="AN253" s="304"/>
    </row>
    <row r="254" spans="2:40" ht="15.75" hidden="1" customHeight="1" thickBot="1" x14ac:dyDescent="0.3">
      <c r="B254" s="305" t="s">
        <v>74</v>
      </c>
      <c r="C254" s="148" t="s">
        <v>49</v>
      </c>
      <c r="D254" s="126">
        <v>0</v>
      </c>
      <c r="E254" s="149">
        <f t="shared" ref="E254:AL254" si="46">D254+0.5</f>
        <v>0.5</v>
      </c>
      <c r="F254" s="149">
        <f t="shared" si="46"/>
        <v>1</v>
      </c>
      <c r="G254" s="149">
        <f t="shared" si="46"/>
        <v>1.5</v>
      </c>
      <c r="H254" s="149">
        <f t="shared" si="46"/>
        <v>2</v>
      </c>
      <c r="I254" s="149">
        <f t="shared" si="46"/>
        <v>2.5</v>
      </c>
      <c r="J254" s="149">
        <f t="shared" si="46"/>
        <v>3</v>
      </c>
      <c r="K254" s="149">
        <f t="shared" si="46"/>
        <v>3.5</v>
      </c>
      <c r="L254" s="149">
        <f t="shared" si="46"/>
        <v>4</v>
      </c>
      <c r="M254" s="149">
        <f t="shared" si="46"/>
        <v>4.5</v>
      </c>
      <c r="N254" s="149">
        <f t="shared" si="46"/>
        <v>5</v>
      </c>
      <c r="O254" s="149">
        <f t="shared" si="46"/>
        <v>5.5</v>
      </c>
      <c r="P254" s="149">
        <f t="shared" si="46"/>
        <v>6</v>
      </c>
      <c r="Q254" s="149">
        <f t="shared" si="46"/>
        <v>6.5</v>
      </c>
      <c r="R254" s="149">
        <f t="shared" si="46"/>
        <v>7</v>
      </c>
      <c r="S254" s="149">
        <f t="shared" si="46"/>
        <v>7.5</v>
      </c>
      <c r="T254" s="149">
        <f t="shared" si="46"/>
        <v>8</v>
      </c>
      <c r="U254" s="149">
        <f t="shared" si="46"/>
        <v>8.5</v>
      </c>
      <c r="V254" s="149">
        <f t="shared" si="46"/>
        <v>9</v>
      </c>
      <c r="W254" s="149">
        <f t="shared" si="46"/>
        <v>9.5</v>
      </c>
      <c r="X254" s="149">
        <f t="shared" si="46"/>
        <v>10</v>
      </c>
      <c r="Y254" s="149">
        <f t="shared" si="46"/>
        <v>10.5</v>
      </c>
      <c r="Z254" s="149">
        <f t="shared" si="46"/>
        <v>11</v>
      </c>
      <c r="AA254" s="149">
        <f t="shared" si="46"/>
        <v>11.5</v>
      </c>
      <c r="AB254" s="149">
        <f t="shared" si="46"/>
        <v>12</v>
      </c>
      <c r="AC254" s="149">
        <f t="shared" si="46"/>
        <v>12.5</v>
      </c>
      <c r="AD254" s="149">
        <f t="shared" si="46"/>
        <v>13</v>
      </c>
      <c r="AE254" s="149">
        <f t="shared" si="46"/>
        <v>13.5</v>
      </c>
      <c r="AF254" s="149">
        <f t="shared" si="46"/>
        <v>14</v>
      </c>
      <c r="AG254" s="149">
        <f t="shared" si="46"/>
        <v>14.5</v>
      </c>
      <c r="AH254" s="149">
        <f t="shared" si="46"/>
        <v>15</v>
      </c>
      <c r="AI254" s="149">
        <f t="shared" si="46"/>
        <v>15.5</v>
      </c>
      <c r="AJ254" s="149">
        <f t="shared" si="46"/>
        <v>16</v>
      </c>
      <c r="AK254" s="149">
        <f t="shared" si="46"/>
        <v>16.5</v>
      </c>
      <c r="AL254" s="149">
        <f t="shared" si="46"/>
        <v>17</v>
      </c>
      <c r="AM254" s="149"/>
      <c r="AN254" s="150"/>
    </row>
    <row r="255" spans="2:40" hidden="1" x14ac:dyDescent="0.25">
      <c r="B255" s="306"/>
      <c r="C255" s="133" t="s">
        <v>61</v>
      </c>
      <c r="D255" s="134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51"/>
      <c r="AM255" s="151"/>
      <c r="AN255" s="136"/>
    </row>
    <row r="256" spans="2:40" hidden="1" x14ac:dyDescent="0.25">
      <c r="B256" s="306"/>
      <c r="C256" s="133" t="s">
        <v>62</v>
      </c>
      <c r="D256" s="134" t="e">
        <f>-D272</f>
        <v>#REF!</v>
      </c>
      <c r="E256" s="151">
        <f>IF(MOD(E254,Comparaison!$D$45)=0,-$D272,0)</f>
        <v>0</v>
      </c>
      <c r="F256" s="151">
        <f>IF(MOD(F254,Comparaison!$D$45)=0,-$D272,0)</f>
        <v>0</v>
      </c>
      <c r="G256" s="151">
        <f>IF(MOD(G254,Comparaison!$D$45)=0,-$D272,0)</f>
        <v>0</v>
      </c>
      <c r="H256" s="151">
        <f>IF(MOD(H254,Comparaison!$D$45)=0,-$D272,0)</f>
        <v>0</v>
      </c>
      <c r="I256" s="151">
        <f>IF(MOD(I254,Comparaison!$D$45)=0,-$D272,0)</f>
        <v>0</v>
      </c>
      <c r="J256" s="151">
        <f>IF(MOD(J254,Comparaison!$D$45)=0,-$D272,0)</f>
        <v>0</v>
      </c>
      <c r="K256" s="151">
        <f>IF(MOD(K254,Comparaison!$D$45)=0,-$D272,0)</f>
        <v>0</v>
      </c>
      <c r="L256" s="151">
        <f>IF(MOD(L254,Comparaison!$D$45)=0,-$D272,0)</f>
        <v>0</v>
      </c>
      <c r="M256" s="151">
        <f>IF(MOD(M254,Comparaison!$D$45)=0,-$D272,0)</f>
        <v>0</v>
      </c>
      <c r="N256" s="151">
        <f>IF(MOD(N254,Comparaison!$D$45)=0,-$D272,0)</f>
        <v>0</v>
      </c>
      <c r="O256" s="151">
        <f>IF(MOD(O254,Comparaison!$D$45)=0,-$D272,0)</f>
        <v>0</v>
      </c>
      <c r="P256" s="151">
        <f>IF(MOD(P254,Comparaison!$D$45)=0,-$D272,0)</f>
        <v>0</v>
      </c>
      <c r="Q256" s="151">
        <f>IF(MOD(Q254,Comparaison!$D$45)=0,-$D272,0)</f>
        <v>0</v>
      </c>
      <c r="R256" s="151">
        <f>IF(MOD(R254,Comparaison!$D$45)=0,-$D272,0)</f>
        <v>0</v>
      </c>
      <c r="S256" s="151">
        <f>IF(MOD(S254,Comparaison!$D$45)=0,-$D272,0)</f>
        <v>0</v>
      </c>
      <c r="T256" s="151">
        <f>IF(MOD(T254,Comparaison!$D$45)=0,-$D272,0)</f>
        <v>0</v>
      </c>
      <c r="U256" s="151">
        <f>IF(MOD(U254,Comparaison!$D$45)=0,-$D272,0)</f>
        <v>0</v>
      </c>
      <c r="V256" s="151">
        <f>IF(MOD(V254,Comparaison!$D$45)=0,-$D272,0)</f>
        <v>0</v>
      </c>
      <c r="W256" s="151">
        <f>IF(MOD(W254,Comparaison!$D$45)=0,-$D272,0)</f>
        <v>0</v>
      </c>
      <c r="X256" s="151">
        <f>IF(MOD(X254,Comparaison!$D$45)=0,-$D272,0)</f>
        <v>0</v>
      </c>
      <c r="Y256" s="151">
        <f>IF(MOD(Y254,Comparaison!$D$45)=0,-$D272,0)</f>
        <v>0</v>
      </c>
      <c r="Z256" s="151">
        <f>IF(MOD(Z254,Comparaison!$D$45)=0,-$D272,0)</f>
        <v>0</v>
      </c>
      <c r="AA256" s="151">
        <f>IF(MOD(AA254,Comparaison!$D$45)=0,-$D272,0)</f>
        <v>0</v>
      </c>
      <c r="AB256" s="151" t="e">
        <f>IF(MOD(AB254,Comparaison!$D$45)=0,-$D272,0)</f>
        <v>#REF!</v>
      </c>
      <c r="AC256" s="151">
        <f>IF(MOD(AC254,Comparaison!$D$45)=0,-$D272,0)</f>
        <v>0</v>
      </c>
      <c r="AD256" s="151">
        <f>IF(MOD(AD254,Comparaison!$D$45)=0,-$D272,0)</f>
        <v>0</v>
      </c>
      <c r="AE256" s="151">
        <f>IF(MOD(AE254,Comparaison!$D$45)=0,-$D272,0)</f>
        <v>0</v>
      </c>
      <c r="AF256" s="151">
        <f>IF(MOD(AF254,Comparaison!$D$45)=0,-$D272,0)</f>
        <v>0</v>
      </c>
      <c r="AG256" s="151">
        <f>IF(MOD(AG254,Comparaison!$D$45)=0,-$D272,0)</f>
        <v>0</v>
      </c>
      <c r="AH256" s="151">
        <f>IF(MOD(AH254,Comparaison!$D$45)=0,-$D272,0)</f>
        <v>0</v>
      </c>
      <c r="AI256" s="151">
        <f>IF(MOD(AI254,Comparaison!$D$45)=0,-$D272,0)</f>
        <v>0</v>
      </c>
      <c r="AJ256" s="151">
        <f>IF(MOD(AJ254,Comparaison!$D$45)=0,-$D272,0)</f>
        <v>0</v>
      </c>
      <c r="AK256" s="151">
        <f>IF(MOD(AK254,Comparaison!$D$45)=0,-$D272,0)</f>
        <v>0</v>
      </c>
      <c r="AL256" s="151">
        <f>IF(MOD(AL254,Comparaison!$D$45)=0,-$D272,0)</f>
        <v>0</v>
      </c>
      <c r="AM256" s="151"/>
      <c r="AN256" s="136"/>
    </row>
    <row r="257" spans="2:40" hidden="1" x14ac:dyDescent="0.25">
      <c r="B257" s="306"/>
      <c r="C257" s="133" t="s">
        <v>71</v>
      </c>
      <c r="D257" s="134" t="e">
        <f>-$D274-$D271-$D275</f>
        <v>#REF!</v>
      </c>
      <c r="E257" s="151">
        <f>IF(MOD(E254,$D$138)=0,-$D274-$D271-$D276,0)</f>
        <v>0</v>
      </c>
      <c r="F257" s="151">
        <f t="shared" ref="F257:AL257" si="47">IF(MOD(F254,$D$138)=0,-$D274-$D271-$D275,0)</f>
        <v>0</v>
      </c>
      <c r="G257" s="151">
        <f t="shared" si="47"/>
        <v>0</v>
      </c>
      <c r="H257" s="151">
        <f t="shared" si="47"/>
        <v>0</v>
      </c>
      <c r="I257" s="151">
        <f t="shared" si="47"/>
        <v>0</v>
      </c>
      <c r="J257" s="151">
        <f t="shared" si="47"/>
        <v>0</v>
      </c>
      <c r="K257" s="151">
        <f t="shared" si="47"/>
        <v>0</v>
      </c>
      <c r="L257" s="151" t="e">
        <f t="shared" si="47"/>
        <v>#REF!</v>
      </c>
      <c r="M257" s="151">
        <f t="shared" si="47"/>
        <v>0</v>
      </c>
      <c r="N257" s="151">
        <f t="shared" si="47"/>
        <v>0</v>
      </c>
      <c r="O257" s="151">
        <f t="shared" si="47"/>
        <v>0</v>
      </c>
      <c r="P257" s="151">
        <f t="shared" si="47"/>
        <v>0</v>
      </c>
      <c r="Q257" s="151">
        <f t="shared" si="47"/>
        <v>0</v>
      </c>
      <c r="R257" s="151">
        <f t="shared" si="47"/>
        <v>0</v>
      </c>
      <c r="S257" s="151">
        <f t="shared" si="47"/>
        <v>0</v>
      </c>
      <c r="T257" s="151" t="e">
        <f t="shared" si="47"/>
        <v>#REF!</v>
      </c>
      <c r="U257" s="151">
        <f t="shared" si="47"/>
        <v>0</v>
      </c>
      <c r="V257" s="151">
        <f t="shared" si="47"/>
        <v>0</v>
      </c>
      <c r="W257" s="151">
        <f t="shared" si="47"/>
        <v>0</v>
      </c>
      <c r="X257" s="151">
        <f t="shared" si="47"/>
        <v>0</v>
      </c>
      <c r="Y257" s="151">
        <f t="shared" si="47"/>
        <v>0</v>
      </c>
      <c r="Z257" s="151">
        <f t="shared" si="47"/>
        <v>0</v>
      </c>
      <c r="AA257" s="151">
        <f t="shared" si="47"/>
        <v>0</v>
      </c>
      <c r="AB257" s="151" t="e">
        <f t="shared" si="47"/>
        <v>#REF!</v>
      </c>
      <c r="AC257" s="151">
        <f t="shared" si="47"/>
        <v>0</v>
      </c>
      <c r="AD257" s="151">
        <f t="shared" si="47"/>
        <v>0</v>
      </c>
      <c r="AE257" s="151">
        <f t="shared" si="47"/>
        <v>0</v>
      </c>
      <c r="AF257" s="151">
        <f t="shared" si="47"/>
        <v>0</v>
      </c>
      <c r="AG257" s="151">
        <f t="shared" si="47"/>
        <v>0</v>
      </c>
      <c r="AH257" s="151">
        <f t="shared" si="47"/>
        <v>0</v>
      </c>
      <c r="AI257" s="151">
        <f t="shared" si="47"/>
        <v>0</v>
      </c>
      <c r="AJ257" s="151" t="e">
        <f t="shared" si="47"/>
        <v>#REF!</v>
      </c>
      <c r="AK257" s="151">
        <f t="shared" si="47"/>
        <v>0</v>
      </c>
      <c r="AL257" s="151">
        <f t="shared" si="47"/>
        <v>0</v>
      </c>
      <c r="AM257" s="151"/>
      <c r="AN257" s="136"/>
    </row>
    <row r="258" spans="2:40" hidden="1" x14ac:dyDescent="0.25">
      <c r="B258" s="306"/>
      <c r="C258" s="133" t="s">
        <v>63</v>
      </c>
      <c r="D258" s="134" t="e">
        <f>-D273</f>
        <v>#REF!</v>
      </c>
      <c r="E258" s="151">
        <f t="shared" ref="E258:AL258" si="48">IF(MOD(E254,$D$137)=0,-$D273,0)</f>
        <v>0</v>
      </c>
      <c r="F258" s="151">
        <f t="shared" si="48"/>
        <v>0</v>
      </c>
      <c r="G258" s="151">
        <f t="shared" si="48"/>
        <v>0</v>
      </c>
      <c r="H258" s="151">
        <f t="shared" si="48"/>
        <v>0</v>
      </c>
      <c r="I258" s="151">
        <f t="shared" si="48"/>
        <v>0</v>
      </c>
      <c r="J258" s="151">
        <f t="shared" si="48"/>
        <v>0</v>
      </c>
      <c r="K258" s="151">
        <f t="shared" si="48"/>
        <v>0</v>
      </c>
      <c r="L258" s="151">
        <f t="shared" si="48"/>
        <v>0</v>
      </c>
      <c r="M258" s="151">
        <f t="shared" si="48"/>
        <v>0</v>
      </c>
      <c r="N258" s="151">
        <f t="shared" si="48"/>
        <v>0</v>
      </c>
      <c r="O258" s="151">
        <f t="shared" si="48"/>
        <v>0</v>
      </c>
      <c r="P258" s="151">
        <f t="shared" si="48"/>
        <v>0</v>
      </c>
      <c r="Q258" s="151">
        <f t="shared" si="48"/>
        <v>0</v>
      </c>
      <c r="R258" s="151">
        <f t="shared" si="48"/>
        <v>0</v>
      </c>
      <c r="S258" s="151">
        <f t="shared" si="48"/>
        <v>0</v>
      </c>
      <c r="T258" s="151">
        <f t="shared" si="48"/>
        <v>0</v>
      </c>
      <c r="U258" s="151">
        <f t="shared" si="48"/>
        <v>0</v>
      </c>
      <c r="V258" s="151">
        <f t="shared" si="48"/>
        <v>0</v>
      </c>
      <c r="W258" s="151">
        <f t="shared" si="48"/>
        <v>0</v>
      </c>
      <c r="X258" s="151">
        <f t="shared" si="48"/>
        <v>0</v>
      </c>
      <c r="Y258" s="151">
        <f t="shared" si="48"/>
        <v>0</v>
      </c>
      <c r="Z258" s="151">
        <f t="shared" si="48"/>
        <v>0</v>
      </c>
      <c r="AA258" s="151">
        <f t="shared" si="48"/>
        <v>0</v>
      </c>
      <c r="AB258" s="151" t="e">
        <f t="shared" si="48"/>
        <v>#REF!</v>
      </c>
      <c r="AC258" s="151">
        <f t="shared" si="48"/>
        <v>0</v>
      </c>
      <c r="AD258" s="151">
        <f t="shared" si="48"/>
        <v>0</v>
      </c>
      <c r="AE258" s="151">
        <f t="shared" si="48"/>
        <v>0</v>
      </c>
      <c r="AF258" s="151">
        <f t="shared" si="48"/>
        <v>0</v>
      </c>
      <c r="AG258" s="151">
        <f t="shared" si="48"/>
        <v>0</v>
      </c>
      <c r="AH258" s="151">
        <f t="shared" si="48"/>
        <v>0</v>
      </c>
      <c r="AI258" s="151">
        <f t="shared" si="48"/>
        <v>0</v>
      </c>
      <c r="AJ258" s="151">
        <f t="shared" si="48"/>
        <v>0</v>
      </c>
      <c r="AK258" s="151">
        <f t="shared" si="48"/>
        <v>0</v>
      </c>
      <c r="AL258" s="151">
        <f t="shared" si="48"/>
        <v>0</v>
      </c>
      <c r="AM258" s="151"/>
      <c r="AN258" s="136"/>
    </row>
    <row r="259" spans="2:40" hidden="1" x14ac:dyDescent="0.25">
      <c r="B259" s="306"/>
      <c r="C259" s="133"/>
      <c r="D259" s="134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/>
      <c r="AM259" s="151"/>
      <c r="AN259" s="136"/>
    </row>
    <row r="260" spans="2:40" hidden="1" x14ac:dyDescent="0.25">
      <c r="B260" s="306"/>
      <c r="C260" s="133" t="s">
        <v>68</v>
      </c>
      <c r="D260" s="134" t="e">
        <f>-D276</f>
        <v>#REF!</v>
      </c>
      <c r="E260" s="151">
        <f t="shared" ref="E260:AL260" si="49">IF(SUM(E256:E259)&lt;0, SUM(E256:E259)*0.2, 0)</f>
        <v>0</v>
      </c>
      <c r="F260" s="151">
        <f t="shared" si="49"/>
        <v>0</v>
      </c>
      <c r="G260" s="151">
        <f t="shared" si="49"/>
        <v>0</v>
      </c>
      <c r="H260" s="151">
        <f t="shared" si="49"/>
        <v>0</v>
      </c>
      <c r="I260" s="151">
        <f t="shared" si="49"/>
        <v>0</v>
      </c>
      <c r="J260" s="151">
        <f t="shared" si="49"/>
        <v>0</v>
      </c>
      <c r="K260" s="151">
        <f t="shared" si="49"/>
        <v>0</v>
      </c>
      <c r="L260" s="151" t="e">
        <f t="shared" si="49"/>
        <v>#REF!</v>
      </c>
      <c r="M260" s="151">
        <f t="shared" si="49"/>
        <v>0</v>
      </c>
      <c r="N260" s="151">
        <f t="shared" si="49"/>
        <v>0</v>
      </c>
      <c r="O260" s="151">
        <f t="shared" si="49"/>
        <v>0</v>
      </c>
      <c r="P260" s="151">
        <f t="shared" si="49"/>
        <v>0</v>
      </c>
      <c r="Q260" s="151">
        <f t="shared" si="49"/>
        <v>0</v>
      </c>
      <c r="R260" s="151">
        <f t="shared" si="49"/>
        <v>0</v>
      </c>
      <c r="S260" s="151">
        <f t="shared" si="49"/>
        <v>0</v>
      </c>
      <c r="T260" s="151" t="e">
        <f t="shared" si="49"/>
        <v>#REF!</v>
      </c>
      <c r="U260" s="151">
        <f t="shared" si="49"/>
        <v>0</v>
      </c>
      <c r="V260" s="151">
        <f t="shared" si="49"/>
        <v>0</v>
      </c>
      <c r="W260" s="151">
        <f t="shared" si="49"/>
        <v>0</v>
      </c>
      <c r="X260" s="151">
        <f t="shared" si="49"/>
        <v>0</v>
      </c>
      <c r="Y260" s="151">
        <f t="shared" si="49"/>
        <v>0</v>
      </c>
      <c r="Z260" s="151">
        <f t="shared" si="49"/>
        <v>0</v>
      </c>
      <c r="AA260" s="151">
        <f t="shared" si="49"/>
        <v>0</v>
      </c>
      <c r="AB260" s="151" t="e">
        <f t="shared" si="49"/>
        <v>#REF!</v>
      </c>
      <c r="AC260" s="151">
        <f t="shared" si="49"/>
        <v>0</v>
      </c>
      <c r="AD260" s="151">
        <f t="shared" si="49"/>
        <v>0</v>
      </c>
      <c r="AE260" s="151">
        <f t="shared" si="49"/>
        <v>0</v>
      </c>
      <c r="AF260" s="151">
        <f t="shared" si="49"/>
        <v>0</v>
      </c>
      <c r="AG260" s="151">
        <f t="shared" si="49"/>
        <v>0</v>
      </c>
      <c r="AH260" s="151">
        <f t="shared" si="49"/>
        <v>0</v>
      </c>
      <c r="AI260" s="151">
        <f t="shared" si="49"/>
        <v>0</v>
      </c>
      <c r="AJ260" s="151" t="e">
        <f t="shared" si="49"/>
        <v>#REF!</v>
      </c>
      <c r="AK260" s="151">
        <f t="shared" si="49"/>
        <v>0</v>
      </c>
      <c r="AL260" s="151">
        <f t="shared" si="49"/>
        <v>0</v>
      </c>
      <c r="AM260" s="151"/>
      <c r="AN260" s="136"/>
    </row>
    <row r="261" spans="2:40" hidden="1" x14ac:dyDescent="0.25">
      <c r="B261" s="306"/>
      <c r="C261" s="133" t="s">
        <v>58</v>
      </c>
      <c r="D261" s="134"/>
      <c r="E261" s="151">
        <f t="shared" ref="E261:AL261" si="50">-($D$45/100*$D$135*$D$47)/2</f>
        <v>-196.00000000000003</v>
      </c>
      <c r="F261" s="151">
        <f t="shared" si="50"/>
        <v>-196.00000000000003</v>
      </c>
      <c r="G261" s="151">
        <f t="shared" si="50"/>
        <v>-196.00000000000003</v>
      </c>
      <c r="H261" s="151">
        <f t="shared" si="50"/>
        <v>-196.00000000000003</v>
      </c>
      <c r="I261" s="151">
        <f t="shared" si="50"/>
        <v>-196.00000000000003</v>
      </c>
      <c r="J261" s="151">
        <f t="shared" si="50"/>
        <v>-196.00000000000003</v>
      </c>
      <c r="K261" s="151">
        <f t="shared" si="50"/>
        <v>-196.00000000000003</v>
      </c>
      <c r="L261" s="151">
        <f t="shared" si="50"/>
        <v>-196.00000000000003</v>
      </c>
      <c r="M261" s="151">
        <f t="shared" si="50"/>
        <v>-196.00000000000003</v>
      </c>
      <c r="N261" s="151">
        <f t="shared" si="50"/>
        <v>-196.00000000000003</v>
      </c>
      <c r="O261" s="151">
        <f t="shared" si="50"/>
        <v>-196.00000000000003</v>
      </c>
      <c r="P261" s="151">
        <f t="shared" si="50"/>
        <v>-196.00000000000003</v>
      </c>
      <c r="Q261" s="151">
        <f t="shared" si="50"/>
        <v>-196.00000000000003</v>
      </c>
      <c r="R261" s="151">
        <f t="shared" si="50"/>
        <v>-196.00000000000003</v>
      </c>
      <c r="S261" s="151">
        <f t="shared" si="50"/>
        <v>-196.00000000000003</v>
      </c>
      <c r="T261" s="151">
        <f t="shared" si="50"/>
        <v>-196.00000000000003</v>
      </c>
      <c r="U261" s="151">
        <f t="shared" si="50"/>
        <v>-196.00000000000003</v>
      </c>
      <c r="V261" s="151">
        <f t="shared" si="50"/>
        <v>-196.00000000000003</v>
      </c>
      <c r="W261" s="151">
        <f t="shared" si="50"/>
        <v>-196.00000000000003</v>
      </c>
      <c r="X261" s="151">
        <f t="shared" si="50"/>
        <v>-196.00000000000003</v>
      </c>
      <c r="Y261" s="151">
        <f t="shared" si="50"/>
        <v>-196.00000000000003</v>
      </c>
      <c r="Z261" s="151">
        <f t="shared" si="50"/>
        <v>-196.00000000000003</v>
      </c>
      <c r="AA261" s="151">
        <f t="shared" si="50"/>
        <v>-196.00000000000003</v>
      </c>
      <c r="AB261" s="151">
        <f t="shared" si="50"/>
        <v>-196.00000000000003</v>
      </c>
      <c r="AC261" s="151">
        <f t="shared" si="50"/>
        <v>-196.00000000000003</v>
      </c>
      <c r="AD261" s="151">
        <f t="shared" si="50"/>
        <v>-196.00000000000003</v>
      </c>
      <c r="AE261" s="151">
        <f t="shared" si="50"/>
        <v>-196.00000000000003</v>
      </c>
      <c r="AF261" s="151">
        <f t="shared" si="50"/>
        <v>-196.00000000000003</v>
      </c>
      <c r="AG261" s="151">
        <f t="shared" si="50"/>
        <v>-196.00000000000003</v>
      </c>
      <c r="AH261" s="151">
        <f t="shared" si="50"/>
        <v>-196.00000000000003</v>
      </c>
      <c r="AI261" s="151">
        <f t="shared" si="50"/>
        <v>-196.00000000000003</v>
      </c>
      <c r="AJ261" s="151">
        <f t="shared" si="50"/>
        <v>-196.00000000000003</v>
      </c>
      <c r="AK261" s="151">
        <f t="shared" si="50"/>
        <v>-196.00000000000003</v>
      </c>
      <c r="AL261" s="151">
        <f t="shared" si="50"/>
        <v>-196.00000000000003</v>
      </c>
      <c r="AM261" s="151"/>
      <c r="AN261" s="136"/>
    </row>
    <row r="262" spans="2:40" hidden="1" x14ac:dyDescent="0.25">
      <c r="B262" s="306"/>
      <c r="C262" s="133" t="s">
        <v>53</v>
      </c>
      <c r="D262" s="134"/>
      <c r="E262" s="151">
        <f t="shared" ref="E262:AL262" si="51">-($D$54*$D$45)*(1-$D$134)/2</f>
        <v>-200.09999999999997</v>
      </c>
      <c r="F262" s="151">
        <f t="shared" si="51"/>
        <v>-200.09999999999997</v>
      </c>
      <c r="G262" s="151">
        <f t="shared" si="51"/>
        <v>-200.09999999999997</v>
      </c>
      <c r="H262" s="151">
        <f t="shared" si="51"/>
        <v>-200.09999999999997</v>
      </c>
      <c r="I262" s="151">
        <f t="shared" si="51"/>
        <v>-200.09999999999997</v>
      </c>
      <c r="J262" s="151">
        <f t="shared" si="51"/>
        <v>-200.09999999999997</v>
      </c>
      <c r="K262" s="151">
        <f t="shared" si="51"/>
        <v>-200.09999999999997</v>
      </c>
      <c r="L262" s="151">
        <f t="shared" si="51"/>
        <v>-200.09999999999997</v>
      </c>
      <c r="M262" s="151">
        <f t="shared" si="51"/>
        <v>-200.09999999999997</v>
      </c>
      <c r="N262" s="151">
        <f t="shared" si="51"/>
        <v>-200.09999999999997</v>
      </c>
      <c r="O262" s="151">
        <f t="shared" si="51"/>
        <v>-200.09999999999997</v>
      </c>
      <c r="P262" s="151">
        <f t="shared" si="51"/>
        <v>-200.09999999999997</v>
      </c>
      <c r="Q262" s="151">
        <f t="shared" si="51"/>
        <v>-200.09999999999997</v>
      </c>
      <c r="R262" s="151">
        <f t="shared" si="51"/>
        <v>-200.09999999999997</v>
      </c>
      <c r="S262" s="151">
        <f t="shared" si="51"/>
        <v>-200.09999999999997</v>
      </c>
      <c r="T262" s="151">
        <f t="shared" si="51"/>
        <v>-200.09999999999997</v>
      </c>
      <c r="U262" s="151">
        <f t="shared" si="51"/>
        <v>-200.09999999999997</v>
      </c>
      <c r="V262" s="151">
        <f t="shared" si="51"/>
        <v>-200.09999999999997</v>
      </c>
      <c r="W262" s="151">
        <f t="shared" si="51"/>
        <v>-200.09999999999997</v>
      </c>
      <c r="X262" s="151">
        <f t="shared" si="51"/>
        <v>-200.09999999999997</v>
      </c>
      <c r="Y262" s="151">
        <f t="shared" si="51"/>
        <v>-200.09999999999997</v>
      </c>
      <c r="Z262" s="151">
        <f t="shared" si="51"/>
        <v>-200.09999999999997</v>
      </c>
      <c r="AA262" s="151">
        <f t="shared" si="51"/>
        <v>-200.09999999999997</v>
      </c>
      <c r="AB262" s="151">
        <f t="shared" si="51"/>
        <v>-200.09999999999997</v>
      </c>
      <c r="AC262" s="151">
        <f t="shared" si="51"/>
        <v>-200.09999999999997</v>
      </c>
      <c r="AD262" s="151">
        <f t="shared" si="51"/>
        <v>-200.09999999999997</v>
      </c>
      <c r="AE262" s="151">
        <f t="shared" si="51"/>
        <v>-200.09999999999997</v>
      </c>
      <c r="AF262" s="151">
        <f t="shared" si="51"/>
        <v>-200.09999999999997</v>
      </c>
      <c r="AG262" s="151">
        <f t="shared" si="51"/>
        <v>-200.09999999999997</v>
      </c>
      <c r="AH262" s="151">
        <f t="shared" si="51"/>
        <v>-200.09999999999997</v>
      </c>
      <c r="AI262" s="151">
        <f t="shared" si="51"/>
        <v>-200.09999999999997</v>
      </c>
      <c r="AJ262" s="151">
        <f t="shared" si="51"/>
        <v>-200.09999999999997</v>
      </c>
      <c r="AK262" s="151">
        <f t="shared" si="51"/>
        <v>-200.09999999999997</v>
      </c>
      <c r="AL262" s="151">
        <f t="shared" si="51"/>
        <v>-200.09999999999997</v>
      </c>
      <c r="AM262" s="151"/>
      <c r="AN262" s="136"/>
    </row>
    <row r="263" spans="2:40" hidden="1" x14ac:dyDescent="0.25">
      <c r="B263" s="306"/>
      <c r="C263" s="133">
        <f>$C$133</f>
        <v>0</v>
      </c>
      <c r="D263" s="134">
        <f>Comparaison!$D$39/6</f>
        <v>0</v>
      </c>
      <c r="E263" s="151">
        <f>Comparaison!$D$39/6</f>
        <v>0</v>
      </c>
      <c r="F263" s="134">
        <f>Comparaison!$D$39/6</f>
        <v>0</v>
      </c>
      <c r="G263" s="134">
        <f>Comparaison!$D$39/6</f>
        <v>0</v>
      </c>
      <c r="H263" s="134">
        <f>Comparaison!$D$39/6</f>
        <v>0</v>
      </c>
      <c r="I263" s="134">
        <f>Comparaison!$D$39/6</f>
        <v>0</v>
      </c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  <c r="AF263" s="134"/>
      <c r="AG263" s="134"/>
      <c r="AH263" s="134"/>
      <c r="AI263" s="134"/>
      <c r="AJ263" s="134"/>
      <c r="AK263" s="134"/>
      <c r="AL263" s="134"/>
      <c r="AM263" s="134"/>
      <c r="AN263" s="136"/>
    </row>
    <row r="264" spans="2:40" ht="15.75" hidden="1" customHeight="1" thickBot="1" x14ac:dyDescent="0.3">
      <c r="B264" s="306"/>
      <c r="C264" s="133" t="s">
        <v>48</v>
      </c>
      <c r="D264" s="134">
        <f>-D277</f>
        <v>0</v>
      </c>
      <c r="E264" s="151">
        <v>0</v>
      </c>
      <c r="F264" s="151">
        <v>0</v>
      </c>
      <c r="G264" s="134">
        <v>0</v>
      </c>
      <c r="H264" s="134">
        <v>0</v>
      </c>
      <c r="I264" s="134">
        <v>0</v>
      </c>
      <c r="J264" s="134">
        <v>0</v>
      </c>
      <c r="K264" s="134">
        <v>0</v>
      </c>
      <c r="L264" s="134">
        <v>0</v>
      </c>
      <c r="M264" s="134">
        <v>0</v>
      </c>
      <c r="N264" s="134">
        <v>0</v>
      </c>
      <c r="O264" s="134">
        <v>0</v>
      </c>
      <c r="P264" s="134">
        <v>0</v>
      </c>
      <c r="Q264" s="134">
        <v>0</v>
      </c>
      <c r="R264" s="134">
        <v>0</v>
      </c>
      <c r="S264" s="134">
        <v>0</v>
      </c>
      <c r="T264" s="134">
        <v>0</v>
      </c>
      <c r="U264" s="134">
        <v>0</v>
      </c>
      <c r="V264" s="134">
        <v>0</v>
      </c>
      <c r="W264" s="134">
        <v>0</v>
      </c>
      <c r="X264" s="134">
        <v>0</v>
      </c>
      <c r="Y264" s="134">
        <v>0</v>
      </c>
      <c r="Z264" s="134">
        <v>0</v>
      </c>
      <c r="AA264" s="134">
        <v>0</v>
      </c>
      <c r="AB264" s="134">
        <v>0</v>
      </c>
      <c r="AC264" s="134">
        <v>0</v>
      </c>
      <c r="AD264" s="134">
        <v>0</v>
      </c>
      <c r="AE264" s="134">
        <v>0</v>
      </c>
      <c r="AF264" s="134">
        <v>0</v>
      </c>
      <c r="AG264" s="134">
        <v>0</v>
      </c>
      <c r="AH264" s="134">
        <v>0</v>
      </c>
      <c r="AI264" s="134">
        <v>0</v>
      </c>
      <c r="AJ264" s="134">
        <v>0</v>
      </c>
      <c r="AK264" s="134">
        <v>0</v>
      </c>
      <c r="AL264" s="134">
        <v>0</v>
      </c>
      <c r="AM264" s="134"/>
      <c r="AN264" s="136"/>
    </row>
    <row r="265" spans="2:40" ht="15.75" hidden="1" thickTop="1" x14ac:dyDescent="0.25">
      <c r="B265" s="306"/>
      <c r="C265" s="152" t="s">
        <v>54</v>
      </c>
      <c r="D265" s="153" t="e">
        <f>IF(D254+0.5&lt;Comparaison!$D$45,SUM(D255:D264),)</f>
        <v>#REF!</v>
      </c>
      <c r="E265" s="153">
        <f>IF(E254+0.5&lt;=Comparaison!$D$45,SUM(E255:E264),)</f>
        <v>-396.1</v>
      </c>
      <c r="F265" s="153">
        <f>IF(F254+0.5&lt;=Comparaison!$D$45,SUM(F255:F264),)</f>
        <v>-396.1</v>
      </c>
      <c r="G265" s="153">
        <f>IF(G254+0.5&lt;=Comparaison!$D$45,SUM(G255:G264),)</f>
        <v>-396.1</v>
      </c>
      <c r="H265" s="153">
        <f>IF(H254+0.5&lt;=Comparaison!$D$45,SUM(H255:H264),)</f>
        <v>-396.1</v>
      </c>
      <c r="I265" s="153">
        <f>IF(I254+0.5&lt;=Comparaison!$D$45,SUM(I255:I264),)</f>
        <v>-396.1</v>
      </c>
      <c r="J265" s="153">
        <f>IF(J254+0.5&lt;=Comparaison!$D$45,SUM(J255:J264),)</f>
        <v>-396.1</v>
      </c>
      <c r="K265" s="153">
        <f>IF(K254+0.5&lt;=Comparaison!$D$45,SUM(K255:K264),)</f>
        <v>-396.1</v>
      </c>
      <c r="L265" s="153" t="e">
        <f>IF(L254+0.5&lt;=Comparaison!$D$45,SUM(L255:L264),)</f>
        <v>#REF!</v>
      </c>
      <c r="M265" s="153">
        <f>IF(M254+0.5&lt;=Comparaison!$D$45,SUM(M255:M264),)</f>
        <v>-396.1</v>
      </c>
      <c r="N265" s="153">
        <f>IF(N254+0.5&lt;=Comparaison!$D$45,SUM(N255:N264),)</f>
        <v>-396.1</v>
      </c>
      <c r="O265" s="153">
        <f>IF(O254+0.5&lt;=Comparaison!$D$45,SUM(O255:O264),)</f>
        <v>-396.1</v>
      </c>
      <c r="P265" s="153">
        <f>IF(P254+0.5&lt;=Comparaison!$D$45,SUM(P255:P264),)</f>
        <v>-396.1</v>
      </c>
      <c r="Q265" s="153">
        <f>IF(Q254+0.5&lt;=Comparaison!$D$45,SUM(Q255:Q264),)</f>
        <v>-396.1</v>
      </c>
      <c r="R265" s="153">
        <f>IF(R254+0.5&lt;=Comparaison!$D$45,SUM(R255:R264),)</f>
        <v>-396.1</v>
      </c>
      <c r="S265" s="153">
        <f>IF(S254+0.5&lt;=Comparaison!$D$45,SUM(S255:S264),)</f>
        <v>-396.1</v>
      </c>
      <c r="T265" s="153" t="e">
        <f>IF(T254+0.5&lt;=Comparaison!$D$45,SUM(T255:T264),)</f>
        <v>#REF!</v>
      </c>
      <c r="U265" s="153">
        <f>IF(U254+0.5&lt;=Comparaison!$D$45,SUM(U255:U264),)</f>
        <v>-396.1</v>
      </c>
      <c r="V265" s="153">
        <f>IF(V254+0.5&lt;=Comparaison!$D$45,SUM(V255:V264),)</f>
        <v>-396.1</v>
      </c>
      <c r="W265" s="153">
        <f>IF(W254+0.5&lt;=Comparaison!$D$45,SUM(W255:W264),)</f>
        <v>-396.1</v>
      </c>
      <c r="X265" s="153">
        <f>IF(X254+0.5&lt;=Comparaison!$D$45,SUM(X255:X264),)</f>
        <v>-396.1</v>
      </c>
      <c r="Y265" s="153">
        <f>IF(Y254+0.5&lt;=Comparaison!$D$45,SUM(Y255:Y264),)</f>
        <v>-396.1</v>
      </c>
      <c r="Z265" s="153">
        <f>IF(Z254+0.5&lt;=Comparaison!$D$45,SUM(Z255:Z264),)</f>
        <v>-396.1</v>
      </c>
      <c r="AA265" s="153">
        <f>IF(AA254+0.5&lt;=Comparaison!$D$45,SUM(AA255:AA264),)</f>
        <v>-396.1</v>
      </c>
      <c r="AB265" s="153">
        <f>IF(AB254+0.5&lt;=Comparaison!$D$45,SUM(AB255:AB264),)</f>
        <v>0</v>
      </c>
      <c r="AC265" s="153">
        <f>IF(AC254+0.5&lt;=Comparaison!$D$45,SUM(AC255:AC264),)</f>
        <v>0</v>
      </c>
      <c r="AD265" s="153">
        <f>IF(AD254+0.5&lt;=Comparaison!$D$45,SUM(AD255:AD264),)</f>
        <v>0</v>
      </c>
      <c r="AE265" s="153">
        <f>IF(AE254+0.5&lt;=Comparaison!$D$45,SUM(AE255:AE264),)</f>
        <v>0</v>
      </c>
      <c r="AF265" s="153">
        <f>IF(AF254+0.5&lt;=Comparaison!$D$45,SUM(AF255:AF264),)</f>
        <v>0</v>
      </c>
      <c r="AG265" s="153">
        <f>IF(AG254+0.5&lt;=Comparaison!$D$45,SUM(AG255:AG264),)</f>
        <v>0</v>
      </c>
      <c r="AH265" s="153">
        <f>IF(AH254+0.5&lt;=Comparaison!$D$45,SUM(AH255:AH264),)</f>
        <v>0</v>
      </c>
      <c r="AI265" s="153">
        <f>IF(AI254+0.5&lt;=Comparaison!$D$45,SUM(AI255:AI264),)</f>
        <v>0</v>
      </c>
      <c r="AJ265" s="153">
        <f>IF(AJ254+0.5&lt;=Comparaison!$D$45,SUM(AJ255:AJ264),)</f>
        <v>0</v>
      </c>
      <c r="AK265" s="153">
        <f>IF(AK254+0.5&lt;=Comparaison!$D$45,SUM(AK255:AK264),)</f>
        <v>0</v>
      </c>
      <c r="AL265" s="153">
        <f>IF(AL254+0.5&lt;=Comparaison!$D$45,SUM(AL255:AL264),)</f>
        <v>0</v>
      </c>
      <c r="AM265" s="153"/>
      <c r="AN265" s="154"/>
    </row>
    <row r="266" spans="2:40" s="50" customFormat="1" hidden="1" x14ac:dyDescent="0.25">
      <c r="B266" s="306"/>
      <c r="C266" s="155" t="s">
        <v>64</v>
      </c>
      <c r="D266" s="156">
        <f>(1+Comparaison!$D$17)^0.5-1</f>
        <v>0</v>
      </c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8"/>
    </row>
    <row r="267" spans="2:40" s="50" customFormat="1" hidden="1" x14ac:dyDescent="0.25">
      <c r="B267" s="306"/>
      <c r="C267" s="159" t="s">
        <v>55</v>
      </c>
      <c r="D267" s="160" t="e">
        <f>D265+NPV(D266,E265:AN265)</f>
        <v>#REF!</v>
      </c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158"/>
    </row>
    <row r="268" spans="2:40" s="50" customFormat="1" ht="15.75" hidden="1" thickBot="1" x14ac:dyDescent="0.3">
      <c r="B268" s="307"/>
      <c r="C268" s="161" t="s">
        <v>56</v>
      </c>
      <c r="D268" s="162" t="e">
        <f>PMT(Comparaison!$D$17,Comparaison!$D$45,D267,0)</f>
        <v>#REF!</v>
      </c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  <c r="AL268" s="163"/>
      <c r="AM268" s="163"/>
      <c r="AN268" s="164"/>
    </row>
    <row r="269" spans="2:40" ht="15.75" hidden="1" thickBot="1" x14ac:dyDescent="0.3"/>
    <row r="270" spans="2:40" hidden="1" x14ac:dyDescent="0.25">
      <c r="C270" s="171" t="str">
        <f t="shared" ref="C270:C277" si="52">C124</f>
        <v>Valeur résiduelle du camion après 6 ans ($)</v>
      </c>
      <c r="D270" s="74" t="e">
        <f>#REF!</f>
        <v>#REF!</v>
      </c>
      <c r="E270" s="174" t="s">
        <v>69</v>
      </c>
    </row>
    <row r="271" spans="2:40" hidden="1" x14ac:dyDescent="0.25">
      <c r="C271" s="33">
        <f t="shared" si="52"/>
        <v>0</v>
      </c>
      <c r="D271" s="29" t="e">
        <f>D125*(1-E271)</f>
        <v>#REF!</v>
      </c>
      <c r="E271" s="178" t="e">
        <f>1-'Feuille de calcul'!C578/'Feuille de calcul'!$C$573</f>
        <v>#REF!</v>
      </c>
    </row>
    <row r="272" spans="2:40" hidden="1" x14ac:dyDescent="0.25">
      <c r="C272" s="33" t="e">
        <f t="shared" si="52"/>
        <v>#REF!</v>
      </c>
      <c r="D272" s="29" t="e">
        <f>D126*(1-$E$271)</f>
        <v>#REF!</v>
      </c>
    </row>
    <row r="273" spans="2:40" hidden="1" x14ac:dyDescent="0.25">
      <c r="C273" s="33" t="str">
        <f t="shared" si="52"/>
        <v>Estimation $ de remplacement des batteries après 12 ans</v>
      </c>
      <c r="D273" s="29" t="e">
        <f>D127*(1-$E$271)</f>
        <v>#REF!</v>
      </c>
    </row>
    <row r="274" spans="2:40" hidden="1" x14ac:dyDescent="0.25">
      <c r="C274" s="33" t="str">
        <f t="shared" si="52"/>
        <v xml:space="preserve">Costs of resettlement  </v>
      </c>
      <c r="D274" s="29" t="e">
        <f>D128*(1-$E$271)</f>
        <v>#REF!</v>
      </c>
    </row>
    <row r="275" spans="2:40" hidden="1" x14ac:dyDescent="0.25">
      <c r="C275" s="33" t="str">
        <f t="shared" si="52"/>
        <v>Coût de la réinstallation</v>
      </c>
      <c r="D275" s="29" t="e">
        <f>D129*(1-$E$271)</f>
        <v>#REF!</v>
      </c>
    </row>
    <row r="276" spans="2:40" hidden="1" x14ac:dyDescent="0.25">
      <c r="C276" s="33" t="e">
        <f t="shared" si="52"/>
        <v>#REF!</v>
      </c>
      <c r="D276" s="29" t="e">
        <f>'Feuille de calcul'!D578</f>
        <v>#REF!</v>
      </c>
      <c r="H276" s="174"/>
    </row>
    <row r="277" spans="2:40" hidden="1" x14ac:dyDescent="0.25">
      <c r="C277" s="33">
        <f t="shared" si="52"/>
        <v>0</v>
      </c>
      <c r="D277" s="29">
        <f>'Feuille de calcul'!$F$578</f>
        <v>0</v>
      </c>
      <c r="F277" s="174"/>
      <c r="G277" s="174"/>
      <c r="H277" s="174"/>
    </row>
    <row r="278" spans="2:40" hidden="1" x14ac:dyDescent="0.25">
      <c r="C278" s="33"/>
      <c r="D278" s="31"/>
      <c r="F278" s="174"/>
      <c r="H278" s="174"/>
    </row>
    <row r="279" spans="2:40" hidden="1" x14ac:dyDescent="0.25">
      <c r="F279" s="174"/>
      <c r="G279" s="174"/>
      <c r="H279" s="174"/>
    </row>
    <row r="280" spans="2:40" ht="15.75" hidden="1" thickBot="1" x14ac:dyDescent="0.3"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3"/>
    </row>
    <row r="281" spans="2:40" ht="15.75" hidden="1" thickBot="1" x14ac:dyDescent="0.3">
      <c r="B281" s="123"/>
      <c r="C281" s="302" t="s">
        <v>59</v>
      </c>
      <c r="D281" s="303"/>
      <c r="E281" s="303"/>
      <c r="F281" s="303"/>
      <c r="G281" s="303"/>
      <c r="H281" s="303"/>
      <c r="I281" s="303"/>
      <c r="J281" s="303"/>
      <c r="K281" s="303"/>
      <c r="L281" s="303"/>
      <c r="M281" s="303"/>
      <c r="N281" s="303"/>
      <c r="O281" s="303"/>
      <c r="P281" s="303"/>
      <c r="Q281" s="303"/>
      <c r="R281" s="303"/>
      <c r="S281" s="303"/>
      <c r="T281" s="303"/>
      <c r="U281" s="303"/>
      <c r="V281" s="303"/>
      <c r="W281" s="303"/>
      <c r="X281" s="303"/>
      <c r="Y281" s="303"/>
      <c r="Z281" s="303"/>
      <c r="AA281" s="303"/>
      <c r="AB281" s="303"/>
      <c r="AC281" s="303"/>
      <c r="AD281" s="303"/>
      <c r="AE281" s="303"/>
      <c r="AF281" s="303"/>
      <c r="AG281" s="303"/>
      <c r="AH281" s="303"/>
      <c r="AI281" s="303"/>
      <c r="AJ281" s="303"/>
      <c r="AK281" s="303"/>
      <c r="AL281" s="303"/>
      <c r="AM281" s="303"/>
      <c r="AN281" s="304"/>
    </row>
    <row r="282" spans="2:40" ht="15.75" hidden="1" customHeight="1" thickBot="1" x14ac:dyDescent="0.3">
      <c r="B282" s="305" t="s">
        <v>75</v>
      </c>
      <c r="C282" s="148" t="s">
        <v>49</v>
      </c>
      <c r="D282" s="126">
        <v>0</v>
      </c>
      <c r="E282" s="149">
        <f t="shared" ref="E282:AN282" si="53">D282+0.5</f>
        <v>0.5</v>
      </c>
      <c r="F282" s="149">
        <f t="shared" si="53"/>
        <v>1</v>
      </c>
      <c r="G282" s="149">
        <f t="shared" si="53"/>
        <v>1.5</v>
      </c>
      <c r="H282" s="149">
        <f t="shared" si="53"/>
        <v>2</v>
      </c>
      <c r="I282" s="149">
        <f t="shared" si="53"/>
        <v>2.5</v>
      </c>
      <c r="J282" s="149">
        <f t="shared" si="53"/>
        <v>3</v>
      </c>
      <c r="K282" s="149">
        <f t="shared" si="53"/>
        <v>3.5</v>
      </c>
      <c r="L282" s="149">
        <f t="shared" si="53"/>
        <v>4</v>
      </c>
      <c r="M282" s="149">
        <f t="shared" si="53"/>
        <v>4.5</v>
      </c>
      <c r="N282" s="149">
        <f t="shared" si="53"/>
        <v>5</v>
      </c>
      <c r="O282" s="149">
        <f t="shared" si="53"/>
        <v>5.5</v>
      </c>
      <c r="P282" s="149">
        <f t="shared" si="53"/>
        <v>6</v>
      </c>
      <c r="Q282" s="149">
        <f t="shared" si="53"/>
        <v>6.5</v>
      </c>
      <c r="R282" s="149">
        <f t="shared" si="53"/>
        <v>7</v>
      </c>
      <c r="S282" s="149">
        <f t="shared" si="53"/>
        <v>7.5</v>
      </c>
      <c r="T282" s="149">
        <f t="shared" si="53"/>
        <v>8</v>
      </c>
      <c r="U282" s="149">
        <f t="shared" si="53"/>
        <v>8.5</v>
      </c>
      <c r="V282" s="149">
        <f t="shared" si="53"/>
        <v>9</v>
      </c>
      <c r="W282" s="149">
        <f t="shared" si="53"/>
        <v>9.5</v>
      </c>
      <c r="X282" s="149">
        <f t="shared" si="53"/>
        <v>10</v>
      </c>
      <c r="Y282" s="149">
        <f t="shared" si="53"/>
        <v>10.5</v>
      </c>
      <c r="Z282" s="149">
        <f t="shared" si="53"/>
        <v>11</v>
      </c>
      <c r="AA282" s="149">
        <f t="shared" si="53"/>
        <v>11.5</v>
      </c>
      <c r="AB282" s="149">
        <f t="shared" si="53"/>
        <v>12</v>
      </c>
      <c r="AC282" s="149">
        <f t="shared" si="53"/>
        <v>12.5</v>
      </c>
      <c r="AD282" s="149">
        <f t="shared" si="53"/>
        <v>13</v>
      </c>
      <c r="AE282" s="149">
        <f t="shared" si="53"/>
        <v>13.5</v>
      </c>
      <c r="AF282" s="149">
        <f t="shared" si="53"/>
        <v>14</v>
      </c>
      <c r="AG282" s="149">
        <f t="shared" si="53"/>
        <v>14.5</v>
      </c>
      <c r="AH282" s="149">
        <f t="shared" si="53"/>
        <v>15</v>
      </c>
      <c r="AI282" s="149">
        <f t="shared" si="53"/>
        <v>15.5</v>
      </c>
      <c r="AJ282" s="149">
        <f t="shared" si="53"/>
        <v>16</v>
      </c>
      <c r="AK282" s="149">
        <f t="shared" si="53"/>
        <v>16.5</v>
      </c>
      <c r="AL282" s="149">
        <f t="shared" si="53"/>
        <v>17</v>
      </c>
      <c r="AM282" s="149">
        <f t="shared" si="53"/>
        <v>17.5</v>
      </c>
      <c r="AN282" s="150">
        <f t="shared" si="53"/>
        <v>18</v>
      </c>
    </row>
    <row r="283" spans="2:40" hidden="1" x14ac:dyDescent="0.25">
      <c r="B283" s="306"/>
      <c r="C283" s="133" t="s">
        <v>61</v>
      </c>
      <c r="D283" s="134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  <c r="AJ283" s="151"/>
      <c r="AK283" s="151"/>
      <c r="AL283" s="151"/>
      <c r="AM283" s="151"/>
      <c r="AN283" s="136"/>
    </row>
    <row r="284" spans="2:40" hidden="1" x14ac:dyDescent="0.25">
      <c r="B284" s="306"/>
      <c r="C284" s="133" t="s">
        <v>62</v>
      </c>
      <c r="D284" s="134" t="e">
        <f>-D301</f>
        <v>#REF!</v>
      </c>
      <c r="E284" s="151">
        <f>IF(MOD(E282,Comparaison!$D$45)=0,-$D301,0)</f>
        <v>0</v>
      </c>
      <c r="F284" s="151">
        <f>IF(MOD(F282,Comparaison!$D$45)=0,-$D301,0)</f>
        <v>0</v>
      </c>
      <c r="G284" s="151">
        <f>IF(MOD(G282,Comparaison!$D$45)=0,-$D301,0)</f>
        <v>0</v>
      </c>
      <c r="H284" s="151">
        <f>IF(MOD(H282,Comparaison!$D$45)=0,-$D301,0)</f>
        <v>0</v>
      </c>
      <c r="I284" s="151">
        <f>IF(MOD(I282,Comparaison!$D$45)=0,-$D301,0)</f>
        <v>0</v>
      </c>
      <c r="J284" s="151">
        <f>IF(MOD(J282,Comparaison!$D$45)=0,-$D301,0)</f>
        <v>0</v>
      </c>
      <c r="K284" s="151">
        <f>IF(MOD(K282,Comparaison!$D$45)=0,-$D301,0)</f>
        <v>0</v>
      </c>
      <c r="L284" s="151">
        <f>IF(MOD(L282,Comparaison!$D$45)=0,-$D301,0)</f>
        <v>0</v>
      </c>
      <c r="M284" s="151">
        <f>IF(MOD(M282,Comparaison!$D$45)=0,-$D301,0)</f>
        <v>0</v>
      </c>
      <c r="N284" s="151">
        <f>IF(MOD(N282,Comparaison!$D$45)=0,-$D301,0)</f>
        <v>0</v>
      </c>
      <c r="O284" s="151">
        <f>IF(MOD(O282,Comparaison!$D$45)=0,-$D301,0)</f>
        <v>0</v>
      </c>
      <c r="P284" s="151">
        <f>IF(MOD(P282,Comparaison!$D$45)=0,-$D301,0)</f>
        <v>0</v>
      </c>
      <c r="Q284" s="151">
        <f>IF(MOD(Q282,Comparaison!$D$45)=0,-$D301,0)</f>
        <v>0</v>
      </c>
      <c r="R284" s="151">
        <f>IF(MOD(R282,Comparaison!$D$45)=0,-$D301,0)</f>
        <v>0</v>
      </c>
      <c r="S284" s="151">
        <f>IF(MOD(S282,Comparaison!$D$45)=0,-$D301,0)</f>
        <v>0</v>
      </c>
      <c r="T284" s="151">
        <f>IF(MOD(T282,Comparaison!$D$45)=0,-$D301,0)</f>
        <v>0</v>
      </c>
      <c r="U284" s="151">
        <f>IF(MOD(U282,Comparaison!$D$45)=0,-$D301,0)</f>
        <v>0</v>
      </c>
      <c r="V284" s="151">
        <f>IF(MOD(V282,Comparaison!$D$45)=0,-$D301,0)</f>
        <v>0</v>
      </c>
      <c r="W284" s="151">
        <f>IF(MOD(W282,Comparaison!$D$45)=0,-$D301,0)</f>
        <v>0</v>
      </c>
      <c r="X284" s="151">
        <f>IF(MOD(X282,Comparaison!$D$45)=0,-$D301,0)</f>
        <v>0</v>
      </c>
      <c r="Y284" s="151">
        <f>IF(MOD(Y282,Comparaison!$D$45)=0,-$D301,0)</f>
        <v>0</v>
      </c>
      <c r="Z284" s="151">
        <f>IF(MOD(Z282,Comparaison!$D$45)=0,-$D301,0)</f>
        <v>0</v>
      </c>
      <c r="AA284" s="151">
        <f>IF(MOD(AA282,Comparaison!$D$45)=0,-$D301,0)</f>
        <v>0</v>
      </c>
      <c r="AB284" s="151" t="e">
        <f>IF(MOD(AB282,Comparaison!$D$45)=0,-$D301,0)</f>
        <v>#REF!</v>
      </c>
      <c r="AC284" s="151">
        <f>IF(MOD(AC282,Comparaison!$D$45)=0,-$D301,0)</f>
        <v>0</v>
      </c>
      <c r="AD284" s="151">
        <f>IF(MOD(AD282,Comparaison!$D$45)=0,-$D301,0)</f>
        <v>0</v>
      </c>
      <c r="AE284" s="151">
        <f>IF(MOD(AE282,Comparaison!$D$45)=0,-$D301,0)</f>
        <v>0</v>
      </c>
      <c r="AF284" s="151">
        <f>IF(MOD(AF282,Comparaison!$D$45)=0,-$D301,0)</f>
        <v>0</v>
      </c>
      <c r="AG284" s="151">
        <f>IF(MOD(AG282,Comparaison!$D$45)=0,-$D301,0)</f>
        <v>0</v>
      </c>
      <c r="AH284" s="151">
        <f>IF(MOD(AH282,Comparaison!$D$45)=0,-$D301,0)</f>
        <v>0</v>
      </c>
      <c r="AI284" s="151">
        <f>IF(MOD(AI282,Comparaison!$D$45)=0,-$D301,0)</f>
        <v>0</v>
      </c>
      <c r="AJ284" s="151">
        <f>IF(MOD(AJ282,Comparaison!$D$45)=0,-$D301,0)</f>
        <v>0</v>
      </c>
      <c r="AK284" s="151">
        <f>IF(MOD(AK282,Comparaison!$D$45)=0,-$D301,0)</f>
        <v>0</v>
      </c>
      <c r="AL284" s="151">
        <f>IF(MOD(AL282,Comparaison!$D$45)=0,-$D301,0)</f>
        <v>0</v>
      </c>
      <c r="AM284" s="151"/>
      <c r="AN284" s="136"/>
    </row>
    <row r="285" spans="2:40" hidden="1" x14ac:dyDescent="0.25">
      <c r="B285" s="306"/>
      <c r="C285" s="133" t="s">
        <v>71</v>
      </c>
      <c r="D285" s="134" t="e">
        <f>-$D303-$D300-$D304</f>
        <v>#REF!</v>
      </c>
      <c r="E285" s="151">
        <f>IF(MOD(E282,$D$138)=0,-$D303-$D300-$D305,0)</f>
        <v>0</v>
      </c>
      <c r="F285" s="151">
        <f t="shared" ref="F285:AL285" si="54">IF(MOD(F282,$D$138)=0,-$D303-$D300-$D304,0)</f>
        <v>0</v>
      </c>
      <c r="G285" s="151">
        <f t="shared" si="54"/>
        <v>0</v>
      </c>
      <c r="H285" s="151">
        <f t="shared" si="54"/>
        <v>0</v>
      </c>
      <c r="I285" s="151">
        <f t="shared" si="54"/>
        <v>0</v>
      </c>
      <c r="J285" s="151">
        <f t="shared" si="54"/>
        <v>0</v>
      </c>
      <c r="K285" s="151">
        <f t="shared" si="54"/>
        <v>0</v>
      </c>
      <c r="L285" s="151" t="e">
        <f t="shared" si="54"/>
        <v>#REF!</v>
      </c>
      <c r="M285" s="151">
        <f t="shared" si="54"/>
        <v>0</v>
      </c>
      <c r="N285" s="151">
        <f t="shared" si="54"/>
        <v>0</v>
      </c>
      <c r="O285" s="151">
        <f t="shared" si="54"/>
        <v>0</v>
      </c>
      <c r="P285" s="151">
        <f t="shared" si="54"/>
        <v>0</v>
      </c>
      <c r="Q285" s="151">
        <f t="shared" si="54"/>
        <v>0</v>
      </c>
      <c r="R285" s="151">
        <f t="shared" si="54"/>
        <v>0</v>
      </c>
      <c r="S285" s="151">
        <f t="shared" si="54"/>
        <v>0</v>
      </c>
      <c r="T285" s="151" t="e">
        <f t="shared" si="54"/>
        <v>#REF!</v>
      </c>
      <c r="U285" s="151">
        <f t="shared" si="54"/>
        <v>0</v>
      </c>
      <c r="V285" s="151">
        <f t="shared" si="54"/>
        <v>0</v>
      </c>
      <c r="W285" s="151">
        <f t="shared" si="54"/>
        <v>0</v>
      </c>
      <c r="X285" s="151">
        <f t="shared" si="54"/>
        <v>0</v>
      </c>
      <c r="Y285" s="151">
        <f t="shared" si="54"/>
        <v>0</v>
      </c>
      <c r="Z285" s="151">
        <f t="shared" si="54"/>
        <v>0</v>
      </c>
      <c r="AA285" s="151">
        <f t="shared" si="54"/>
        <v>0</v>
      </c>
      <c r="AB285" s="151" t="e">
        <f t="shared" si="54"/>
        <v>#REF!</v>
      </c>
      <c r="AC285" s="151">
        <f t="shared" si="54"/>
        <v>0</v>
      </c>
      <c r="AD285" s="151">
        <f t="shared" si="54"/>
        <v>0</v>
      </c>
      <c r="AE285" s="151">
        <f t="shared" si="54"/>
        <v>0</v>
      </c>
      <c r="AF285" s="151">
        <f t="shared" si="54"/>
        <v>0</v>
      </c>
      <c r="AG285" s="151">
        <f t="shared" si="54"/>
        <v>0</v>
      </c>
      <c r="AH285" s="151">
        <f t="shared" si="54"/>
        <v>0</v>
      </c>
      <c r="AI285" s="151">
        <f t="shared" si="54"/>
        <v>0</v>
      </c>
      <c r="AJ285" s="151" t="e">
        <f t="shared" si="54"/>
        <v>#REF!</v>
      </c>
      <c r="AK285" s="151">
        <f t="shared" si="54"/>
        <v>0</v>
      </c>
      <c r="AL285" s="151">
        <f t="shared" si="54"/>
        <v>0</v>
      </c>
      <c r="AM285" s="151"/>
      <c r="AN285" s="136"/>
    </row>
    <row r="286" spans="2:40" hidden="1" x14ac:dyDescent="0.25">
      <c r="B286" s="306"/>
      <c r="C286" s="133" t="s">
        <v>63</v>
      </c>
      <c r="D286" s="134" t="e">
        <f>-D302</f>
        <v>#REF!</v>
      </c>
      <c r="E286" s="151">
        <f t="shared" ref="E286:AL286" si="55">IF(MOD(E282,$D$137)=0,-$D302,0)</f>
        <v>0</v>
      </c>
      <c r="F286" s="151">
        <f t="shared" si="55"/>
        <v>0</v>
      </c>
      <c r="G286" s="151">
        <f t="shared" si="55"/>
        <v>0</v>
      </c>
      <c r="H286" s="151">
        <f t="shared" si="55"/>
        <v>0</v>
      </c>
      <c r="I286" s="151">
        <f t="shared" si="55"/>
        <v>0</v>
      </c>
      <c r="J286" s="151">
        <f t="shared" si="55"/>
        <v>0</v>
      </c>
      <c r="K286" s="151">
        <f t="shared" si="55"/>
        <v>0</v>
      </c>
      <c r="L286" s="151">
        <f t="shared" si="55"/>
        <v>0</v>
      </c>
      <c r="M286" s="151">
        <f t="shared" si="55"/>
        <v>0</v>
      </c>
      <c r="N286" s="151">
        <f t="shared" si="55"/>
        <v>0</v>
      </c>
      <c r="O286" s="151">
        <f t="shared" si="55"/>
        <v>0</v>
      </c>
      <c r="P286" s="151">
        <f t="shared" si="55"/>
        <v>0</v>
      </c>
      <c r="Q286" s="151">
        <f t="shared" si="55"/>
        <v>0</v>
      </c>
      <c r="R286" s="151">
        <f t="shared" si="55"/>
        <v>0</v>
      </c>
      <c r="S286" s="151">
        <f t="shared" si="55"/>
        <v>0</v>
      </c>
      <c r="T286" s="151">
        <f t="shared" si="55"/>
        <v>0</v>
      </c>
      <c r="U286" s="151">
        <f t="shared" si="55"/>
        <v>0</v>
      </c>
      <c r="V286" s="151">
        <f t="shared" si="55"/>
        <v>0</v>
      </c>
      <c r="W286" s="151">
        <f t="shared" si="55"/>
        <v>0</v>
      </c>
      <c r="X286" s="151">
        <f t="shared" si="55"/>
        <v>0</v>
      </c>
      <c r="Y286" s="151">
        <f t="shared" si="55"/>
        <v>0</v>
      </c>
      <c r="Z286" s="151">
        <f t="shared" si="55"/>
        <v>0</v>
      </c>
      <c r="AA286" s="151">
        <f t="shared" si="55"/>
        <v>0</v>
      </c>
      <c r="AB286" s="151" t="e">
        <f t="shared" si="55"/>
        <v>#REF!</v>
      </c>
      <c r="AC286" s="151">
        <f t="shared" si="55"/>
        <v>0</v>
      </c>
      <c r="AD286" s="151">
        <f t="shared" si="55"/>
        <v>0</v>
      </c>
      <c r="AE286" s="151">
        <f t="shared" si="55"/>
        <v>0</v>
      </c>
      <c r="AF286" s="151">
        <f t="shared" si="55"/>
        <v>0</v>
      </c>
      <c r="AG286" s="151">
        <f t="shared" si="55"/>
        <v>0</v>
      </c>
      <c r="AH286" s="151">
        <f t="shared" si="55"/>
        <v>0</v>
      </c>
      <c r="AI286" s="151">
        <f t="shared" si="55"/>
        <v>0</v>
      </c>
      <c r="AJ286" s="151">
        <f t="shared" si="55"/>
        <v>0</v>
      </c>
      <c r="AK286" s="151">
        <f t="shared" si="55"/>
        <v>0</v>
      </c>
      <c r="AL286" s="151">
        <f t="shared" si="55"/>
        <v>0</v>
      </c>
      <c r="AM286" s="151"/>
      <c r="AN286" s="136"/>
    </row>
    <row r="287" spans="2:40" hidden="1" x14ac:dyDescent="0.25">
      <c r="B287" s="306"/>
      <c r="C287" s="133"/>
      <c r="D287" s="134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  <c r="AJ287" s="151"/>
      <c r="AK287" s="151"/>
      <c r="AL287" s="151"/>
      <c r="AM287" s="151"/>
      <c r="AN287" s="136"/>
    </row>
    <row r="288" spans="2:40" hidden="1" x14ac:dyDescent="0.25">
      <c r="B288" s="306"/>
      <c r="C288" s="133" t="s">
        <v>68</v>
      </c>
      <c r="D288" s="134" t="e">
        <f>-D305</f>
        <v>#REF!</v>
      </c>
      <c r="E288" s="151">
        <f t="shared" ref="E288:AL288" si="56">IF(SUM(E284:E287)&lt;0, SUM(E284:E287)*0.2, 0)</f>
        <v>0</v>
      </c>
      <c r="F288" s="151">
        <f t="shared" si="56"/>
        <v>0</v>
      </c>
      <c r="G288" s="151">
        <f t="shared" si="56"/>
        <v>0</v>
      </c>
      <c r="H288" s="151">
        <f t="shared" si="56"/>
        <v>0</v>
      </c>
      <c r="I288" s="151">
        <f t="shared" si="56"/>
        <v>0</v>
      </c>
      <c r="J288" s="151">
        <f t="shared" si="56"/>
        <v>0</v>
      </c>
      <c r="K288" s="151">
        <f t="shared" si="56"/>
        <v>0</v>
      </c>
      <c r="L288" s="151" t="e">
        <f t="shared" si="56"/>
        <v>#REF!</v>
      </c>
      <c r="M288" s="151">
        <f t="shared" si="56"/>
        <v>0</v>
      </c>
      <c r="N288" s="151">
        <f t="shared" si="56"/>
        <v>0</v>
      </c>
      <c r="O288" s="151">
        <f t="shared" si="56"/>
        <v>0</v>
      </c>
      <c r="P288" s="151">
        <f t="shared" si="56"/>
        <v>0</v>
      </c>
      <c r="Q288" s="151">
        <f t="shared" si="56"/>
        <v>0</v>
      </c>
      <c r="R288" s="151">
        <f t="shared" si="56"/>
        <v>0</v>
      </c>
      <c r="S288" s="151">
        <f t="shared" si="56"/>
        <v>0</v>
      </c>
      <c r="T288" s="151" t="e">
        <f t="shared" si="56"/>
        <v>#REF!</v>
      </c>
      <c r="U288" s="151">
        <f t="shared" si="56"/>
        <v>0</v>
      </c>
      <c r="V288" s="151">
        <f t="shared" si="56"/>
        <v>0</v>
      </c>
      <c r="W288" s="151">
        <f t="shared" si="56"/>
        <v>0</v>
      </c>
      <c r="X288" s="151">
        <f t="shared" si="56"/>
        <v>0</v>
      </c>
      <c r="Y288" s="151">
        <f t="shared" si="56"/>
        <v>0</v>
      </c>
      <c r="Z288" s="151">
        <f t="shared" si="56"/>
        <v>0</v>
      </c>
      <c r="AA288" s="151">
        <f t="shared" si="56"/>
        <v>0</v>
      </c>
      <c r="AB288" s="151" t="e">
        <f t="shared" si="56"/>
        <v>#REF!</v>
      </c>
      <c r="AC288" s="151">
        <f t="shared" si="56"/>
        <v>0</v>
      </c>
      <c r="AD288" s="151">
        <f t="shared" si="56"/>
        <v>0</v>
      </c>
      <c r="AE288" s="151">
        <f t="shared" si="56"/>
        <v>0</v>
      </c>
      <c r="AF288" s="151">
        <f t="shared" si="56"/>
        <v>0</v>
      </c>
      <c r="AG288" s="151">
        <f t="shared" si="56"/>
        <v>0</v>
      </c>
      <c r="AH288" s="151">
        <f t="shared" si="56"/>
        <v>0</v>
      </c>
      <c r="AI288" s="151">
        <f t="shared" si="56"/>
        <v>0</v>
      </c>
      <c r="AJ288" s="151" t="e">
        <f t="shared" si="56"/>
        <v>#REF!</v>
      </c>
      <c r="AK288" s="151">
        <f t="shared" si="56"/>
        <v>0</v>
      </c>
      <c r="AL288" s="151">
        <f t="shared" si="56"/>
        <v>0</v>
      </c>
      <c r="AM288" s="151"/>
      <c r="AN288" s="136"/>
    </row>
    <row r="289" spans="2:40" hidden="1" x14ac:dyDescent="0.25">
      <c r="B289" s="306"/>
      <c r="C289" s="133" t="s">
        <v>58</v>
      </c>
      <c r="D289" s="134"/>
      <c r="E289" s="151">
        <f t="shared" ref="E289:AL289" si="57">-($D$45/100*$D$135*$D$47)/2</f>
        <v>-196.00000000000003</v>
      </c>
      <c r="F289" s="151">
        <f t="shared" si="57"/>
        <v>-196.00000000000003</v>
      </c>
      <c r="G289" s="151">
        <f t="shared" si="57"/>
        <v>-196.00000000000003</v>
      </c>
      <c r="H289" s="151">
        <f t="shared" si="57"/>
        <v>-196.00000000000003</v>
      </c>
      <c r="I289" s="151">
        <f t="shared" si="57"/>
        <v>-196.00000000000003</v>
      </c>
      <c r="J289" s="151">
        <f t="shared" si="57"/>
        <v>-196.00000000000003</v>
      </c>
      <c r="K289" s="151">
        <f t="shared" si="57"/>
        <v>-196.00000000000003</v>
      </c>
      <c r="L289" s="151">
        <f t="shared" si="57"/>
        <v>-196.00000000000003</v>
      </c>
      <c r="M289" s="151">
        <f t="shared" si="57"/>
        <v>-196.00000000000003</v>
      </c>
      <c r="N289" s="151">
        <f t="shared" si="57"/>
        <v>-196.00000000000003</v>
      </c>
      <c r="O289" s="151">
        <f t="shared" si="57"/>
        <v>-196.00000000000003</v>
      </c>
      <c r="P289" s="151">
        <f t="shared" si="57"/>
        <v>-196.00000000000003</v>
      </c>
      <c r="Q289" s="151">
        <f t="shared" si="57"/>
        <v>-196.00000000000003</v>
      </c>
      <c r="R289" s="151">
        <f t="shared" si="57"/>
        <v>-196.00000000000003</v>
      </c>
      <c r="S289" s="151">
        <f t="shared" si="57"/>
        <v>-196.00000000000003</v>
      </c>
      <c r="T289" s="151">
        <f t="shared" si="57"/>
        <v>-196.00000000000003</v>
      </c>
      <c r="U289" s="151">
        <f t="shared" si="57"/>
        <v>-196.00000000000003</v>
      </c>
      <c r="V289" s="151">
        <f t="shared" si="57"/>
        <v>-196.00000000000003</v>
      </c>
      <c r="W289" s="151">
        <f t="shared" si="57"/>
        <v>-196.00000000000003</v>
      </c>
      <c r="X289" s="151">
        <f t="shared" si="57"/>
        <v>-196.00000000000003</v>
      </c>
      <c r="Y289" s="151">
        <f t="shared" si="57"/>
        <v>-196.00000000000003</v>
      </c>
      <c r="Z289" s="151">
        <f t="shared" si="57"/>
        <v>-196.00000000000003</v>
      </c>
      <c r="AA289" s="151">
        <f t="shared" si="57"/>
        <v>-196.00000000000003</v>
      </c>
      <c r="AB289" s="151">
        <f t="shared" si="57"/>
        <v>-196.00000000000003</v>
      </c>
      <c r="AC289" s="151">
        <f t="shared" si="57"/>
        <v>-196.00000000000003</v>
      </c>
      <c r="AD289" s="151">
        <f t="shared" si="57"/>
        <v>-196.00000000000003</v>
      </c>
      <c r="AE289" s="151">
        <f t="shared" si="57"/>
        <v>-196.00000000000003</v>
      </c>
      <c r="AF289" s="151">
        <f t="shared" si="57"/>
        <v>-196.00000000000003</v>
      </c>
      <c r="AG289" s="151">
        <f t="shared" si="57"/>
        <v>-196.00000000000003</v>
      </c>
      <c r="AH289" s="151">
        <f t="shared" si="57"/>
        <v>-196.00000000000003</v>
      </c>
      <c r="AI289" s="151">
        <f t="shared" si="57"/>
        <v>-196.00000000000003</v>
      </c>
      <c r="AJ289" s="151">
        <f t="shared" si="57"/>
        <v>-196.00000000000003</v>
      </c>
      <c r="AK289" s="151">
        <f t="shared" si="57"/>
        <v>-196.00000000000003</v>
      </c>
      <c r="AL289" s="151">
        <f t="shared" si="57"/>
        <v>-196.00000000000003</v>
      </c>
      <c r="AM289" s="151"/>
      <c r="AN289" s="136"/>
    </row>
    <row r="290" spans="2:40" hidden="1" x14ac:dyDescent="0.25">
      <c r="B290" s="306"/>
      <c r="C290" s="133" t="s">
        <v>53</v>
      </c>
      <c r="D290" s="134"/>
      <c r="E290" s="151">
        <f t="shared" ref="E290:AL290" si="58">-($D$54*$D$45)*(1-$D$134)/2</f>
        <v>-200.09999999999997</v>
      </c>
      <c r="F290" s="151">
        <f t="shared" si="58"/>
        <v>-200.09999999999997</v>
      </c>
      <c r="G290" s="151">
        <f t="shared" si="58"/>
        <v>-200.09999999999997</v>
      </c>
      <c r="H290" s="151">
        <f t="shared" si="58"/>
        <v>-200.09999999999997</v>
      </c>
      <c r="I290" s="151">
        <f t="shared" si="58"/>
        <v>-200.09999999999997</v>
      </c>
      <c r="J290" s="151">
        <f t="shared" si="58"/>
        <v>-200.09999999999997</v>
      </c>
      <c r="K290" s="151">
        <f t="shared" si="58"/>
        <v>-200.09999999999997</v>
      </c>
      <c r="L290" s="151">
        <f t="shared" si="58"/>
        <v>-200.09999999999997</v>
      </c>
      <c r="M290" s="151">
        <f t="shared" si="58"/>
        <v>-200.09999999999997</v>
      </c>
      <c r="N290" s="151">
        <f t="shared" si="58"/>
        <v>-200.09999999999997</v>
      </c>
      <c r="O290" s="151">
        <f t="shared" si="58"/>
        <v>-200.09999999999997</v>
      </c>
      <c r="P290" s="151">
        <f t="shared" si="58"/>
        <v>-200.09999999999997</v>
      </c>
      <c r="Q290" s="151">
        <f t="shared" si="58"/>
        <v>-200.09999999999997</v>
      </c>
      <c r="R290" s="151">
        <f t="shared" si="58"/>
        <v>-200.09999999999997</v>
      </c>
      <c r="S290" s="151">
        <f t="shared" si="58"/>
        <v>-200.09999999999997</v>
      </c>
      <c r="T290" s="151">
        <f t="shared" si="58"/>
        <v>-200.09999999999997</v>
      </c>
      <c r="U290" s="151">
        <f t="shared" si="58"/>
        <v>-200.09999999999997</v>
      </c>
      <c r="V290" s="151">
        <f t="shared" si="58"/>
        <v>-200.09999999999997</v>
      </c>
      <c r="W290" s="151">
        <f t="shared" si="58"/>
        <v>-200.09999999999997</v>
      </c>
      <c r="X290" s="151">
        <f t="shared" si="58"/>
        <v>-200.09999999999997</v>
      </c>
      <c r="Y290" s="151">
        <f t="shared" si="58"/>
        <v>-200.09999999999997</v>
      </c>
      <c r="Z290" s="151">
        <f t="shared" si="58"/>
        <v>-200.09999999999997</v>
      </c>
      <c r="AA290" s="151">
        <f t="shared" si="58"/>
        <v>-200.09999999999997</v>
      </c>
      <c r="AB290" s="151">
        <f t="shared" si="58"/>
        <v>-200.09999999999997</v>
      </c>
      <c r="AC290" s="151">
        <f t="shared" si="58"/>
        <v>-200.09999999999997</v>
      </c>
      <c r="AD290" s="151">
        <f t="shared" si="58"/>
        <v>-200.09999999999997</v>
      </c>
      <c r="AE290" s="151">
        <f t="shared" si="58"/>
        <v>-200.09999999999997</v>
      </c>
      <c r="AF290" s="151">
        <f t="shared" si="58"/>
        <v>-200.09999999999997</v>
      </c>
      <c r="AG290" s="151">
        <f t="shared" si="58"/>
        <v>-200.09999999999997</v>
      </c>
      <c r="AH290" s="151">
        <f t="shared" si="58"/>
        <v>-200.09999999999997</v>
      </c>
      <c r="AI290" s="151">
        <f t="shared" si="58"/>
        <v>-200.09999999999997</v>
      </c>
      <c r="AJ290" s="151">
        <f t="shared" si="58"/>
        <v>-200.09999999999997</v>
      </c>
      <c r="AK290" s="151">
        <f t="shared" si="58"/>
        <v>-200.09999999999997</v>
      </c>
      <c r="AL290" s="151">
        <f t="shared" si="58"/>
        <v>-200.09999999999997</v>
      </c>
      <c r="AM290" s="151"/>
      <c r="AN290" s="136"/>
    </row>
    <row r="291" spans="2:40" hidden="1" x14ac:dyDescent="0.25">
      <c r="B291" s="306"/>
      <c r="C291" s="133">
        <f>$C$133</f>
        <v>0</v>
      </c>
      <c r="D291" s="134">
        <f>Comparaison!$D$39/6</f>
        <v>0</v>
      </c>
      <c r="E291" s="151">
        <f>Comparaison!$D$39/6</f>
        <v>0</v>
      </c>
      <c r="F291" s="134">
        <f>Comparaison!$D$39/6</f>
        <v>0</v>
      </c>
      <c r="G291" s="134">
        <f>Comparaison!$D$39/6</f>
        <v>0</v>
      </c>
      <c r="H291" s="134">
        <f>Comparaison!$D$39/6</f>
        <v>0</v>
      </c>
      <c r="I291" s="134">
        <f>Comparaison!$D$39/6</f>
        <v>0</v>
      </c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6"/>
    </row>
    <row r="292" spans="2:40" ht="15.75" hidden="1" customHeight="1" thickBot="1" x14ac:dyDescent="0.3">
      <c r="B292" s="306"/>
      <c r="C292" s="133" t="s">
        <v>48</v>
      </c>
      <c r="D292" s="134">
        <f>-D306</f>
        <v>0</v>
      </c>
      <c r="E292" s="151">
        <v>0</v>
      </c>
      <c r="F292" s="151">
        <v>0</v>
      </c>
      <c r="G292" s="134">
        <v>0</v>
      </c>
      <c r="H292" s="134">
        <v>0</v>
      </c>
      <c r="I292" s="134">
        <v>0</v>
      </c>
      <c r="J292" s="134">
        <v>0</v>
      </c>
      <c r="K292" s="134">
        <v>0</v>
      </c>
      <c r="L292" s="134">
        <v>0</v>
      </c>
      <c r="M292" s="134">
        <v>0</v>
      </c>
      <c r="N292" s="134">
        <v>0</v>
      </c>
      <c r="O292" s="134">
        <v>0</v>
      </c>
      <c r="P292" s="134">
        <v>0</v>
      </c>
      <c r="Q292" s="134">
        <v>0</v>
      </c>
      <c r="R292" s="134">
        <v>0</v>
      </c>
      <c r="S292" s="134">
        <v>0</v>
      </c>
      <c r="T292" s="134">
        <v>0</v>
      </c>
      <c r="U292" s="134">
        <v>0</v>
      </c>
      <c r="V292" s="134">
        <v>0</v>
      </c>
      <c r="W292" s="134">
        <v>0</v>
      </c>
      <c r="X292" s="134">
        <v>0</v>
      </c>
      <c r="Y292" s="134">
        <v>0</v>
      </c>
      <c r="Z292" s="134">
        <v>0</v>
      </c>
      <c r="AA292" s="134">
        <v>0</v>
      </c>
      <c r="AB292" s="134">
        <v>0</v>
      </c>
      <c r="AC292" s="134">
        <v>0</v>
      </c>
      <c r="AD292" s="134">
        <v>0</v>
      </c>
      <c r="AE292" s="134">
        <v>0</v>
      </c>
      <c r="AF292" s="134">
        <v>0</v>
      </c>
      <c r="AG292" s="134">
        <v>0</v>
      </c>
      <c r="AH292" s="134">
        <v>0</v>
      </c>
      <c r="AI292" s="134">
        <v>0</v>
      </c>
      <c r="AJ292" s="134">
        <v>0</v>
      </c>
      <c r="AK292" s="134">
        <v>0</v>
      </c>
      <c r="AL292" s="134">
        <v>0</v>
      </c>
      <c r="AM292" s="134"/>
      <c r="AN292" s="136"/>
    </row>
    <row r="293" spans="2:40" ht="15.75" hidden="1" thickTop="1" x14ac:dyDescent="0.25">
      <c r="B293" s="306"/>
      <c r="C293" s="152" t="s">
        <v>54</v>
      </c>
      <c r="D293" s="153" t="e">
        <f>IF(D282+0.5&lt;Comparaison!$D$45,SUM(D283:D292),)</f>
        <v>#REF!</v>
      </c>
      <c r="E293" s="153">
        <f>IF(E282+0.5&lt;=Comparaison!$D$45,SUM(E283:E292),)</f>
        <v>-396.1</v>
      </c>
      <c r="F293" s="153">
        <f>IF(F282+0.5&lt;=Comparaison!$D$45,SUM(F283:F292),)</f>
        <v>-396.1</v>
      </c>
      <c r="G293" s="153">
        <f>IF(G282+0.5&lt;=Comparaison!$D$45,SUM(G283:G292),)</f>
        <v>-396.1</v>
      </c>
      <c r="H293" s="153">
        <f>IF(H282+0.5&lt;=Comparaison!$D$45,SUM(H283:H292),)</f>
        <v>-396.1</v>
      </c>
      <c r="I293" s="153">
        <f>IF(I282+0.5&lt;=Comparaison!$D$45,SUM(I283:I292),)</f>
        <v>-396.1</v>
      </c>
      <c r="J293" s="153">
        <f>IF(J282+0.5&lt;=Comparaison!$D$45,SUM(J283:J292),)</f>
        <v>-396.1</v>
      </c>
      <c r="K293" s="153">
        <f>IF(K282+0.5&lt;=Comparaison!$D$45,SUM(K283:K292),)</f>
        <v>-396.1</v>
      </c>
      <c r="L293" s="153" t="e">
        <f>IF(L282+0.5&lt;=Comparaison!$D$45,SUM(L283:L292),)</f>
        <v>#REF!</v>
      </c>
      <c r="M293" s="153">
        <f>IF(M282+0.5&lt;=Comparaison!$D$45,SUM(M283:M292),)</f>
        <v>-396.1</v>
      </c>
      <c r="N293" s="153">
        <f>IF(N282+0.5&lt;=Comparaison!$D$45,SUM(N283:N292),)</f>
        <v>-396.1</v>
      </c>
      <c r="O293" s="153">
        <f>IF(O282+0.5&lt;=Comparaison!$D$45,SUM(O283:O292),)</f>
        <v>-396.1</v>
      </c>
      <c r="P293" s="153">
        <f>IF(P282+0.5&lt;=Comparaison!$D$45,SUM(P283:P292),)</f>
        <v>-396.1</v>
      </c>
      <c r="Q293" s="153">
        <f>IF(Q282+0.5&lt;=Comparaison!$D$45,SUM(Q283:Q292),)</f>
        <v>-396.1</v>
      </c>
      <c r="R293" s="153">
        <f>IF(R282+0.5&lt;=Comparaison!$D$45,SUM(R283:R292),)</f>
        <v>-396.1</v>
      </c>
      <c r="S293" s="153">
        <f>IF(S282+0.5&lt;=Comparaison!$D$45,SUM(S283:S292),)</f>
        <v>-396.1</v>
      </c>
      <c r="T293" s="153" t="e">
        <f>IF(T282+0.5&lt;=Comparaison!$D$45,SUM(T283:T292),)</f>
        <v>#REF!</v>
      </c>
      <c r="U293" s="153">
        <f>IF(U282+0.5&lt;=Comparaison!$D$45,SUM(U283:U292),)</f>
        <v>-396.1</v>
      </c>
      <c r="V293" s="153">
        <f>IF(V282+0.5&lt;=Comparaison!$D$45,SUM(V283:V292),)</f>
        <v>-396.1</v>
      </c>
      <c r="W293" s="153">
        <f>IF(W282+0.5&lt;=Comparaison!$D$45,SUM(W283:W292),)</f>
        <v>-396.1</v>
      </c>
      <c r="X293" s="153">
        <f>IF(X282+0.5&lt;=Comparaison!$D$45,SUM(X283:X292),)</f>
        <v>-396.1</v>
      </c>
      <c r="Y293" s="153">
        <f>IF(Y282+0.5&lt;=Comparaison!$D$45,SUM(Y283:Y292),)</f>
        <v>-396.1</v>
      </c>
      <c r="Z293" s="153">
        <f>IF(Z282+0.5&lt;=Comparaison!$D$45,SUM(Z283:Z292),)</f>
        <v>-396.1</v>
      </c>
      <c r="AA293" s="153">
        <f>IF(AA282+0.5&lt;=Comparaison!$D$45,SUM(AA283:AA292),)</f>
        <v>-396.1</v>
      </c>
      <c r="AB293" s="153">
        <f>IF(AB282+0.5&lt;=Comparaison!$D$45,SUM(AB283:AB292),)</f>
        <v>0</v>
      </c>
      <c r="AC293" s="153">
        <f>IF(AC282+0.5&lt;=Comparaison!$D$45,SUM(AC283:AC292),)</f>
        <v>0</v>
      </c>
      <c r="AD293" s="153">
        <f>IF(AD282+0.5&lt;=Comparaison!$D$45,SUM(AD283:AD292),)</f>
        <v>0</v>
      </c>
      <c r="AE293" s="153">
        <f>IF(AE282+0.5&lt;=Comparaison!$D$45,SUM(AE283:AE292),)</f>
        <v>0</v>
      </c>
      <c r="AF293" s="153">
        <f>IF(AF282+0.5&lt;=Comparaison!$D$45,SUM(AF283:AF292),)</f>
        <v>0</v>
      </c>
      <c r="AG293" s="153">
        <f>IF(AG282+0.5&lt;=Comparaison!$D$45,SUM(AG283:AG292),)</f>
        <v>0</v>
      </c>
      <c r="AH293" s="153">
        <f>IF(AH282+0.5&lt;=Comparaison!$D$45,SUM(AH283:AH292),)</f>
        <v>0</v>
      </c>
      <c r="AI293" s="153">
        <f>IF(AI282+0.5&lt;=Comparaison!$D$45,SUM(AI283:AI292),)</f>
        <v>0</v>
      </c>
      <c r="AJ293" s="153">
        <f>IF(AJ282+0.5&lt;=Comparaison!$D$45,SUM(AJ283:AJ292),)</f>
        <v>0</v>
      </c>
      <c r="AK293" s="153">
        <f>IF(AK282+0.5&lt;=Comparaison!$D$45,SUM(AK283:AK292),)</f>
        <v>0</v>
      </c>
      <c r="AL293" s="153">
        <f>IF(AL282+0.5&lt;=Comparaison!$D$45,SUM(AL283:AL292),)</f>
        <v>0</v>
      </c>
      <c r="AM293" s="153"/>
      <c r="AN293" s="154"/>
    </row>
    <row r="294" spans="2:40" s="50" customFormat="1" hidden="1" x14ac:dyDescent="0.25">
      <c r="B294" s="306"/>
      <c r="C294" s="155" t="s">
        <v>64</v>
      </c>
      <c r="D294" s="156">
        <f>(1+Comparaison!$D$17)^0.5-1</f>
        <v>0</v>
      </c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8"/>
    </row>
    <row r="295" spans="2:40" s="50" customFormat="1" hidden="1" x14ac:dyDescent="0.25">
      <c r="B295" s="306"/>
      <c r="C295" s="159" t="s">
        <v>55</v>
      </c>
      <c r="D295" s="160" t="e">
        <f>D293+NPV(D294,E293:AN293)</f>
        <v>#REF!</v>
      </c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8"/>
    </row>
    <row r="296" spans="2:40" s="50" customFormat="1" ht="15.75" hidden="1" thickBot="1" x14ac:dyDescent="0.3">
      <c r="B296" s="307"/>
      <c r="C296" s="161" t="s">
        <v>56</v>
      </c>
      <c r="D296" s="162" t="e">
        <f>PMT(Comparaison!$D$17,Comparaison!$D$45,D295,0)</f>
        <v>#REF!</v>
      </c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  <c r="AG296" s="163"/>
      <c r="AH296" s="163"/>
      <c r="AI296" s="163"/>
      <c r="AJ296" s="163"/>
      <c r="AK296" s="163"/>
      <c r="AL296" s="163"/>
      <c r="AM296" s="163"/>
      <c r="AN296" s="164"/>
    </row>
    <row r="297" spans="2:40" hidden="1" x14ac:dyDescent="0.25"/>
    <row r="298" spans="2:40" ht="15.75" hidden="1" thickBot="1" x14ac:dyDescent="0.3"/>
    <row r="299" spans="2:40" hidden="1" x14ac:dyDescent="0.25">
      <c r="C299" s="171" t="str">
        <f t="shared" ref="C299:C306" si="59">C124</f>
        <v>Valeur résiduelle du camion après 6 ans ($)</v>
      </c>
      <c r="D299" s="74" t="e">
        <f>#REF!</f>
        <v>#REF!</v>
      </c>
      <c r="E299" s="174" t="s">
        <v>69</v>
      </c>
    </row>
    <row r="300" spans="2:40" hidden="1" x14ac:dyDescent="0.25">
      <c r="C300" s="33">
        <f t="shared" si="59"/>
        <v>0</v>
      </c>
      <c r="D300" s="29" t="e">
        <f>(D125)*(1-E300)</f>
        <v>#REF!</v>
      </c>
      <c r="E300" s="178" t="e">
        <f>1-'Feuille de calcul'!C579/'Feuille de calcul'!$C$573</f>
        <v>#REF!</v>
      </c>
    </row>
    <row r="301" spans="2:40" hidden="1" x14ac:dyDescent="0.25">
      <c r="C301" s="33" t="e">
        <f t="shared" si="59"/>
        <v>#REF!</v>
      </c>
      <c r="D301" s="29" t="e">
        <f>D126*(1-$E$300)</f>
        <v>#REF!</v>
      </c>
    </row>
    <row r="302" spans="2:40" hidden="1" x14ac:dyDescent="0.25">
      <c r="C302" s="33" t="str">
        <f t="shared" si="59"/>
        <v>Estimation $ de remplacement des batteries après 12 ans</v>
      </c>
      <c r="D302" s="29" t="e">
        <f>D127*(1-$E$300)</f>
        <v>#REF!</v>
      </c>
    </row>
    <row r="303" spans="2:40" hidden="1" x14ac:dyDescent="0.25">
      <c r="C303" s="33" t="str">
        <f t="shared" si="59"/>
        <v xml:space="preserve">Costs of resettlement  </v>
      </c>
      <c r="D303" s="29" t="e">
        <f>D128*(1-$E$300)</f>
        <v>#REF!</v>
      </c>
    </row>
    <row r="304" spans="2:40" hidden="1" x14ac:dyDescent="0.25">
      <c r="C304" s="33" t="str">
        <f t="shared" si="59"/>
        <v>Coût de la réinstallation</v>
      </c>
      <c r="D304" s="29" t="e">
        <f>D129*(1-$E$300)</f>
        <v>#REF!</v>
      </c>
    </row>
    <row r="305" spans="3:7" hidden="1" x14ac:dyDescent="0.25">
      <c r="C305" s="33" t="e">
        <f t="shared" si="59"/>
        <v>#REF!</v>
      </c>
      <c r="D305" s="29" t="e">
        <f>'Feuille de calcul'!D579</f>
        <v>#REF!</v>
      </c>
    </row>
    <row r="306" spans="3:7" hidden="1" x14ac:dyDescent="0.25">
      <c r="C306" s="33">
        <f t="shared" si="59"/>
        <v>0</v>
      </c>
      <c r="D306" s="29">
        <f>'Feuille de calcul'!F579</f>
        <v>0</v>
      </c>
      <c r="F306" s="174"/>
      <c r="G306" s="174"/>
    </row>
    <row r="307" spans="3:7" hidden="1" x14ac:dyDescent="0.25">
      <c r="C307" s="33"/>
      <c r="D307" s="31"/>
      <c r="F307" s="174"/>
    </row>
    <row r="308" spans="3:7" hidden="1" x14ac:dyDescent="0.25">
      <c r="F308" s="174"/>
      <c r="G308" s="174"/>
    </row>
    <row r="309" spans="3:7" hidden="1" x14ac:dyDescent="0.25"/>
    <row r="310" spans="3:7" hidden="1" x14ac:dyDescent="0.25"/>
    <row r="311" spans="3:7" hidden="1" x14ac:dyDescent="0.25"/>
    <row r="312" spans="3:7" hidden="1" x14ac:dyDescent="0.25"/>
    <row r="313" spans="3:7" hidden="1" x14ac:dyDescent="0.25"/>
    <row r="314" spans="3:7" hidden="1" x14ac:dyDescent="0.25"/>
    <row r="315" spans="3:7" hidden="1" x14ac:dyDescent="0.25"/>
    <row r="316" spans="3:7" hidden="1" x14ac:dyDescent="0.25"/>
    <row r="317" spans="3:7" hidden="1" x14ac:dyDescent="0.25"/>
    <row r="318" spans="3:7" hidden="1" x14ac:dyDescent="0.25"/>
    <row r="319" spans="3:7" hidden="1" x14ac:dyDescent="0.25"/>
    <row r="320" spans="3:7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484" spans="3:31" x14ac:dyDescent="0.25">
      <c r="C484" s="321"/>
      <c r="D484" s="321"/>
      <c r="E484" s="321"/>
      <c r="F484" s="321"/>
      <c r="G484" s="321"/>
      <c r="H484" s="321"/>
      <c r="I484" s="321"/>
      <c r="J484" s="321"/>
      <c r="K484" s="321"/>
      <c r="L484" s="321"/>
      <c r="M484" s="321"/>
      <c r="N484" s="321"/>
      <c r="O484" s="321"/>
      <c r="P484" s="321"/>
      <c r="Q484" s="321"/>
      <c r="R484" s="321"/>
      <c r="S484" s="321"/>
      <c r="T484" s="321"/>
      <c r="U484" s="321"/>
      <c r="V484" s="321"/>
      <c r="W484" s="321"/>
      <c r="X484" s="321"/>
      <c r="Y484" s="321"/>
      <c r="Z484" s="321"/>
      <c r="AA484" s="321"/>
      <c r="AB484" s="321"/>
      <c r="AC484" s="321"/>
      <c r="AD484" s="321"/>
      <c r="AE484" s="321"/>
    </row>
    <row r="485" spans="3:31" x14ac:dyDescent="0.25">
      <c r="C485" s="321"/>
      <c r="D485" s="321"/>
      <c r="E485" s="321"/>
      <c r="F485" s="321"/>
      <c r="G485" s="321"/>
      <c r="H485" s="321"/>
      <c r="I485" s="321"/>
      <c r="J485" s="321"/>
      <c r="K485" s="321"/>
      <c r="L485" s="321"/>
      <c r="M485" s="321"/>
      <c r="N485" s="321"/>
      <c r="O485" s="321"/>
      <c r="P485" s="321"/>
      <c r="Q485" s="321"/>
      <c r="R485" s="321"/>
      <c r="S485" s="321"/>
      <c r="T485" s="321"/>
      <c r="U485" s="321"/>
      <c r="V485" s="321"/>
      <c r="W485" s="321"/>
      <c r="X485" s="321"/>
      <c r="Y485" s="321"/>
      <c r="Z485" s="321"/>
      <c r="AA485" s="321"/>
      <c r="AB485" s="321"/>
      <c r="AC485" s="321"/>
      <c r="AD485" s="321"/>
      <c r="AE485" s="321"/>
    </row>
    <row r="486" spans="3:31" x14ac:dyDescent="0.25">
      <c r="C486" s="321"/>
      <c r="D486" s="321"/>
      <c r="E486" s="321"/>
      <c r="F486" s="321"/>
      <c r="G486" s="321"/>
      <c r="H486" s="321"/>
      <c r="I486" s="321"/>
      <c r="J486" s="321"/>
      <c r="K486" s="321"/>
      <c r="L486" s="321"/>
      <c r="M486" s="321"/>
      <c r="N486" s="321"/>
      <c r="O486" s="321"/>
      <c r="P486" s="321"/>
      <c r="Q486" s="321"/>
      <c r="R486" s="321"/>
      <c r="S486" s="321"/>
      <c r="T486" s="321"/>
      <c r="U486" s="321"/>
      <c r="V486" s="321"/>
      <c r="W486" s="321"/>
      <c r="X486" s="321"/>
      <c r="Y486" s="321"/>
      <c r="Z486" s="321"/>
      <c r="AA486" s="321"/>
      <c r="AB486" s="321"/>
      <c r="AC486" s="321"/>
      <c r="AD486" s="321"/>
      <c r="AE486" s="321"/>
    </row>
    <row r="487" spans="3:31" x14ac:dyDescent="0.25">
      <c r="C487" s="321"/>
      <c r="D487" s="321"/>
      <c r="E487" s="321"/>
      <c r="F487" s="321"/>
      <c r="G487" s="322"/>
      <c r="H487" s="321"/>
      <c r="I487" s="321"/>
      <c r="J487" s="321"/>
      <c r="K487" s="321"/>
      <c r="L487" s="321"/>
      <c r="M487" s="321"/>
      <c r="N487" s="321"/>
      <c r="O487" s="321"/>
      <c r="P487" s="321"/>
      <c r="Q487" s="321"/>
      <c r="R487" s="321"/>
      <c r="S487" s="321"/>
      <c r="T487" s="321"/>
      <c r="U487" s="321"/>
      <c r="V487" s="321"/>
      <c r="W487" s="321"/>
      <c r="X487" s="321"/>
      <c r="Y487" s="321"/>
      <c r="Z487" s="321"/>
      <c r="AA487" s="321"/>
      <c r="AB487" s="321"/>
      <c r="AC487" s="321"/>
      <c r="AD487" s="321"/>
      <c r="AE487" s="321"/>
    </row>
    <row r="488" spans="3:31" x14ac:dyDescent="0.25">
      <c r="C488" s="321"/>
      <c r="D488" s="321"/>
      <c r="E488" s="321"/>
      <c r="F488" s="323" t="s">
        <v>76</v>
      </c>
      <c r="G488" s="324">
        <v>146</v>
      </c>
      <c r="H488" s="324">
        <v>173</v>
      </c>
      <c r="I488" s="324">
        <v>201</v>
      </c>
      <c r="J488" s="324">
        <v>230</v>
      </c>
      <c r="K488" s="324">
        <v>258</v>
      </c>
      <c r="L488" s="324">
        <v>286</v>
      </c>
      <c r="M488" s="321"/>
      <c r="N488" s="321"/>
      <c r="O488" s="321"/>
      <c r="P488" s="321"/>
      <c r="Q488" s="321"/>
      <c r="R488" s="321"/>
      <c r="S488" s="321"/>
      <c r="T488" s="321"/>
      <c r="U488" s="321"/>
      <c r="V488" s="321"/>
      <c r="W488" s="321"/>
      <c r="X488" s="321"/>
      <c r="Y488" s="321"/>
      <c r="Z488" s="321"/>
      <c r="AA488" s="321"/>
      <c r="AB488" s="321"/>
      <c r="AC488" s="321"/>
      <c r="AD488" s="321"/>
      <c r="AE488" s="321"/>
    </row>
    <row r="489" spans="3:31" x14ac:dyDescent="0.25">
      <c r="C489" s="321"/>
      <c r="D489" s="321" t="s">
        <v>77</v>
      </c>
      <c r="E489" s="321" t="s">
        <v>5</v>
      </c>
      <c r="F489" s="321"/>
      <c r="G489" s="321"/>
      <c r="H489" s="321"/>
      <c r="I489" s="321"/>
      <c r="J489" s="321"/>
      <c r="K489" s="321"/>
      <c r="L489" s="321"/>
      <c r="M489" s="321"/>
      <c r="N489" s="321"/>
      <c r="O489" s="321"/>
      <c r="P489" s="321"/>
      <c r="Q489" s="321"/>
      <c r="R489" s="321"/>
      <c r="S489" s="321"/>
      <c r="T489" s="321"/>
      <c r="U489" s="321"/>
      <c r="V489" s="321"/>
      <c r="W489" s="321"/>
      <c r="X489" s="321"/>
      <c r="Y489" s="321"/>
      <c r="Z489" s="321"/>
      <c r="AA489" s="321"/>
      <c r="AB489" s="321"/>
      <c r="AC489" s="321"/>
      <c r="AD489" s="321"/>
      <c r="AE489" s="321"/>
    </row>
    <row r="490" spans="3:31" x14ac:dyDescent="0.25">
      <c r="C490" s="321"/>
      <c r="D490" s="325">
        <v>0</v>
      </c>
      <c r="E490" s="322">
        <f>D77</f>
        <v>-39840</v>
      </c>
      <c r="F490" s="326">
        <f>D109+E109</f>
        <v>-35396.1</v>
      </c>
      <c r="G490" s="326" t="e">
        <f t="shared" ref="G490:K505" ca="1" si="60">INDIRECT(ADDRESS(G$488,4+$D490*2))+INDIRECT(ADDRESS(G$488,4+$D490*2+1))</f>
        <v>#REF!</v>
      </c>
      <c r="H490" s="326" t="e">
        <f t="shared" ca="1" si="60"/>
        <v>#REF!</v>
      </c>
      <c r="I490" s="326" t="e">
        <f t="shared" ca="1" si="60"/>
        <v>#REF!</v>
      </c>
      <c r="J490" s="326" t="e">
        <f t="shared" ca="1" si="60"/>
        <v>#REF!</v>
      </c>
      <c r="K490" s="326" t="e">
        <f t="shared" ca="1" si="60"/>
        <v>#REF!</v>
      </c>
      <c r="L490" s="326" t="e">
        <f>D293+E293</f>
        <v>#REF!</v>
      </c>
      <c r="M490" s="321"/>
      <c r="N490" s="321"/>
      <c r="O490" s="321"/>
      <c r="P490" s="321"/>
      <c r="Q490" s="321"/>
      <c r="R490" s="321"/>
      <c r="S490" s="321"/>
      <c r="T490" s="321"/>
      <c r="U490" s="321"/>
      <c r="V490" s="321"/>
      <c r="W490" s="321"/>
      <c r="X490" s="321"/>
      <c r="Y490" s="321"/>
      <c r="Z490" s="321"/>
      <c r="AA490" s="321"/>
      <c r="AB490" s="321"/>
      <c r="AC490" s="321"/>
      <c r="AD490" s="321"/>
      <c r="AE490" s="321"/>
    </row>
    <row r="491" spans="3:31" x14ac:dyDescent="0.25">
      <c r="C491" s="321"/>
      <c r="D491" s="325">
        <v>1</v>
      </c>
      <c r="E491" s="322">
        <f>E77</f>
        <v>-4950</v>
      </c>
      <c r="F491" s="326">
        <f>F109+G109</f>
        <v>-792.2</v>
      </c>
      <c r="G491" s="326">
        <f t="shared" ca="1" si="60"/>
        <v>0</v>
      </c>
      <c r="H491" s="326">
        <f t="shared" ca="1" si="60"/>
        <v>0</v>
      </c>
      <c r="I491" s="326">
        <f t="shared" ca="1" si="60"/>
        <v>0</v>
      </c>
      <c r="J491" s="326">
        <f t="shared" ca="1" si="60"/>
        <v>0</v>
      </c>
      <c r="K491" s="326">
        <f t="shared" ca="1" si="60"/>
        <v>0</v>
      </c>
      <c r="L491" s="326">
        <f>F293+G293</f>
        <v>-792.2</v>
      </c>
      <c r="M491" s="321"/>
      <c r="N491" s="321"/>
      <c r="O491" s="321"/>
      <c r="P491" s="321"/>
      <c r="Q491" s="321"/>
      <c r="R491" s="321"/>
      <c r="S491" s="321"/>
      <c r="T491" s="321"/>
      <c r="U491" s="321"/>
      <c r="V491" s="321"/>
      <c r="W491" s="321"/>
      <c r="X491" s="321"/>
      <c r="Y491" s="321"/>
      <c r="Z491" s="321"/>
      <c r="AA491" s="321"/>
      <c r="AB491" s="321"/>
      <c r="AC491" s="321"/>
      <c r="AD491" s="321"/>
      <c r="AE491" s="321"/>
    </row>
    <row r="492" spans="3:31" x14ac:dyDescent="0.25">
      <c r="C492" s="321"/>
      <c r="D492" s="325">
        <v>2</v>
      </c>
      <c r="E492" s="322">
        <f>F77</f>
        <v>-4950</v>
      </c>
      <c r="F492" s="326">
        <f>H109+I109</f>
        <v>-792.2</v>
      </c>
      <c r="G492" s="326">
        <f t="shared" ca="1" si="60"/>
        <v>0</v>
      </c>
      <c r="H492" s="326">
        <f t="shared" ca="1" si="60"/>
        <v>0</v>
      </c>
      <c r="I492" s="326">
        <f t="shared" ca="1" si="60"/>
        <v>0</v>
      </c>
      <c r="J492" s="326">
        <f t="shared" ca="1" si="60"/>
        <v>0</v>
      </c>
      <c r="K492" s="326">
        <f t="shared" ca="1" si="60"/>
        <v>0</v>
      </c>
      <c r="L492" s="326">
        <f>H293+I293</f>
        <v>-792.2</v>
      </c>
      <c r="M492" s="321"/>
      <c r="N492" s="322"/>
      <c r="O492" s="321"/>
      <c r="P492" s="321"/>
      <c r="Q492" s="321"/>
      <c r="R492" s="321"/>
      <c r="S492" s="321"/>
      <c r="T492" s="321"/>
      <c r="U492" s="321"/>
      <c r="V492" s="321"/>
      <c r="W492" s="321"/>
      <c r="X492" s="321"/>
      <c r="Y492" s="321"/>
      <c r="Z492" s="321"/>
      <c r="AA492" s="321"/>
      <c r="AB492" s="321"/>
      <c r="AC492" s="321"/>
      <c r="AD492" s="321"/>
      <c r="AE492" s="321"/>
    </row>
    <row r="493" spans="3:31" x14ac:dyDescent="0.25">
      <c r="C493" s="321"/>
      <c r="D493" s="325">
        <v>3</v>
      </c>
      <c r="E493" s="322">
        <f>G77</f>
        <v>-4950</v>
      </c>
      <c r="F493" s="326">
        <f>J109+K109</f>
        <v>-792.2</v>
      </c>
      <c r="G493" s="326">
        <f t="shared" ca="1" si="60"/>
        <v>0</v>
      </c>
      <c r="H493" s="326">
        <f t="shared" ca="1" si="60"/>
        <v>0</v>
      </c>
      <c r="I493" s="326">
        <f t="shared" ca="1" si="60"/>
        <v>0</v>
      </c>
      <c r="J493" s="326">
        <f t="shared" ca="1" si="60"/>
        <v>0</v>
      </c>
      <c r="K493" s="326">
        <f t="shared" ca="1" si="60"/>
        <v>0</v>
      </c>
      <c r="L493" s="326">
        <f>J293+K293</f>
        <v>-792.2</v>
      </c>
      <c r="M493" s="321"/>
      <c r="N493" s="321"/>
      <c r="O493" s="321"/>
      <c r="P493" s="321"/>
      <c r="Q493" s="321"/>
      <c r="R493" s="321"/>
      <c r="S493" s="321"/>
      <c r="T493" s="321"/>
      <c r="U493" s="321"/>
      <c r="V493" s="321"/>
      <c r="W493" s="321"/>
      <c r="X493" s="321"/>
      <c r="Y493" s="321"/>
      <c r="Z493" s="321"/>
      <c r="AA493" s="321"/>
      <c r="AB493" s="321"/>
      <c r="AC493" s="321"/>
      <c r="AD493" s="321"/>
      <c r="AE493" s="321"/>
    </row>
    <row r="494" spans="3:31" x14ac:dyDescent="0.25">
      <c r="C494" s="321"/>
      <c r="D494" s="325">
        <v>4</v>
      </c>
      <c r="E494" s="322">
        <f>H77</f>
        <v>-4950</v>
      </c>
      <c r="F494" s="326">
        <f>L109+M109</f>
        <v>-4292.2</v>
      </c>
      <c r="G494" s="326">
        <f t="shared" ca="1" si="60"/>
        <v>0</v>
      </c>
      <c r="H494" s="326">
        <f t="shared" ca="1" si="60"/>
        <v>0</v>
      </c>
      <c r="I494" s="326">
        <f t="shared" ca="1" si="60"/>
        <v>0</v>
      </c>
      <c r="J494" s="326">
        <f t="shared" ca="1" si="60"/>
        <v>0</v>
      </c>
      <c r="K494" s="326">
        <f t="shared" ca="1" si="60"/>
        <v>0</v>
      </c>
      <c r="L494" s="326" t="e">
        <f>L293+M293</f>
        <v>#REF!</v>
      </c>
      <c r="M494" s="321"/>
      <c r="N494" s="321"/>
      <c r="O494" s="321"/>
      <c r="P494" s="321"/>
      <c r="Q494" s="321"/>
      <c r="R494" s="321"/>
      <c r="S494" s="321"/>
      <c r="T494" s="321"/>
      <c r="U494" s="321"/>
      <c r="V494" s="321"/>
      <c r="W494" s="321"/>
      <c r="X494" s="321"/>
      <c r="Y494" s="321"/>
      <c r="Z494" s="321"/>
      <c r="AA494" s="321"/>
      <c r="AB494" s="321"/>
      <c r="AC494" s="321"/>
      <c r="AD494" s="321"/>
      <c r="AE494" s="321"/>
    </row>
    <row r="495" spans="3:31" x14ac:dyDescent="0.25">
      <c r="C495" s="321"/>
      <c r="D495" s="325">
        <v>5</v>
      </c>
      <c r="E495" s="322">
        <f>I77</f>
        <v>-4950</v>
      </c>
      <c r="F495" s="326">
        <f>N109+O109</f>
        <v>-792.2</v>
      </c>
      <c r="G495" s="326">
        <f t="shared" ca="1" si="60"/>
        <v>0</v>
      </c>
      <c r="H495" s="326">
        <f t="shared" ca="1" si="60"/>
        <v>0</v>
      </c>
      <c r="I495" s="326">
        <f t="shared" ca="1" si="60"/>
        <v>0</v>
      </c>
      <c r="J495" s="326">
        <f t="shared" ca="1" si="60"/>
        <v>0</v>
      </c>
      <c r="K495" s="326">
        <f t="shared" ca="1" si="60"/>
        <v>0</v>
      </c>
      <c r="L495" s="326">
        <f>N293+O293</f>
        <v>-792.2</v>
      </c>
      <c r="M495" s="321"/>
      <c r="N495" s="321"/>
      <c r="O495" s="321"/>
      <c r="P495" s="321"/>
      <c r="Q495" s="321"/>
      <c r="R495" s="321"/>
      <c r="S495" s="321"/>
      <c r="T495" s="321"/>
      <c r="U495" s="321"/>
      <c r="V495" s="321"/>
      <c r="W495" s="321"/>
      <c r="X495" s="321"/>
      <c r="Y495" s="321"/>
      <c r="Z495" s="321"/>
      <c r="AA495" s="321"/>
      <c r="AB495" s="321"/>
      <c r="AC495" s="321"/>
      <c r="AD495" s="321"/>
      <c r="AE495" s="321"/>
    </row>
    <row r="496" spans="3:31" x14ac:dyDescent="0.25">
      <c r="C496" s="321"/>
      <c r="D496" s="325">
        <v>6</v>
      </c>
      <c r="E496" s="322">
        <f>J77</f>
        <v>-44790</v>
      </c>
      <c r="F496" s="326">
        <f>P109+Q109</f>
        <v>-792.2</v>
      </c>
      <c r="G496" s="326">
        <f t="shared" ca="1" si="60"/>
        <v>0</v>
      </c>
      <c r="H496" s="326">
        <f t="shared" ca="1" si="60"/>
        <v>0</v>
      </c>
      <c r="I496" s="326">
        <f t="shared" ca="1" si="60"/>
        <v>0</v>
      </c>
      <c r="J496" s="326">
        <f t="shared" ca="1" si="60"/>
        <v>0</v>
      </c>
      <c r="K496" s="326">
        <f t="shared" ca="1" si="60"/>
        <v>0</v>
      </c>
      <c r="L496" s="326">
        <f>P293+Q293</f>
        <v>-792.2</v>
      </c>
      <c r="M496" s="321"/>
      <c r="N496" s="321"/>
      <c r="O496" s="321"/>
      <c r="P496" s="321"/>
      <c r="Q496" s="321"/>
      <c r="R496" s="321"/>
      <c r="S496" s="321"/>
      <c r="T496" s="321"/>
      <c r="U496" s="321"/>
      <c r="V496" s="321"/>
      <c r="W496" s="321"/>
      <c r="X496" s="321"/>
      <c r="Y496" s="321"/>
      <c r="Z496" s="321"/>
      <c r="AA496" s="321"/>
      <c r="AB496" s="321"/>
      <c r="AC496" s="321"/>
      <c r="AD496" s="321"/>
      <c r="AE496" s="321"/>
    </row>
    <row r="497" spans="3:31" x14ac:dyDescent="0.25">
      <c r="C497" s="321"/>
      <c r="D497" s="325">
        <v>7</v>
      </c>
      <c r="E497" s="322">
        <f>K77</f>
        <v>-4950</v>
      </c>
      <c r="F497" s="326">
        <f>R109+S109</f>
        <v>-792.2</v>
      </c>
      <c r="G497" s="326">
        <f t="shared" ca="1" si="60"/>
        <v>0</v>
      </c>
      <c r="H497" s="326">
        <f t="shared" ca="1" si="60"/>
        <v>0</v>
      </c>
      <c r="I497" s="326">
        <f t="shared" ca="1" si="60"/>
        <v>0</v>
      </c>
      <c r="J497" s="326">
        <f t="shared" ca="1" si="60"/>
        <v>0</v>
      </c>
      <c r="K497" s="326">
        <f t="shared" ca="1" si="60"/>
        <v>0</v>
      </c>
      <c r="L497" s="326">
        <f>R293+S293</f>
        <v>-792.2</v>
      </c>
      <c r="M497" s="321"/>
      <c r="N497" s="321"/>
      <c r="O497" s="321"/>
      <c r="P497" s="321"/>
      <c r="Q497" s="321"/>
      <c r="R497" s="321"/>
      <c r="S497" s="321"/>
      <c r="T497" s="321"/>
      <c r="U497" s="321"/>
      <c r="V497" s="321"/>
      <c r="W497" s="321"/>
      <c r="X497" s="321"/>
      <c r="Y497" s="321"/>
      <c r="Z497" s="321"/>
      <c r="AA497" s="321"/>
      <c r="AB497" s="321"/>
      <c r="AC497" s="321"/>
      <c r="AD497" s="321"/>
      <c r="AE497" s="321"/>
    </row>
    <row r="498" spans="3:31" x14ac:dyDescent="0.25">
      <c r="C498" s="321"/>
      <c r="D498" s="325">
        <v>8</v>
      </c>
      <c r="E498" s="322">
        <f>L77</f>
        <v>-4950</v>
      </c>
      <c r="F498" s="326">
        <f>T109+U109</f>
        <v>-4292.2</v>
      </c>
      <c r="G498" s="326">
        <f t="shared" ca="1" si="60"/>
        <v>0</v>
      </c>
      <c r="H498" s="326">
        <f t="shared" ca="1" si="60"/>
        <v>0</v>
      </c>
      <c r="I498" s="326">
        <f t="shared" ca="1" si="60"/>
        <v>0</v>
      </c>
      <c r="J498" s="326">
        <f t="shared" ca="1" si="60"/>
        <v>0</v>
      </c>
      <c r="K498" s="326">
        <f t="shared" ca="1" si="60"/>
        <v>0</v>
      </c>
      <c r="L498" s="326" t="e">
        <f>T293+U293</f>
        <v>#REF!</v>
      </c>
      <c r="M498" s="327"/>
      <c r="N498" s="321"/>
      <c r="O498" s="327"/>
      <c r="P498" s="321"/>
      <c r="Q498" s="327"/>
      <c r="R498" s="321"/>
      <c r="S498" s="327"/>
      <c r="T498" s="321"/>
      <c r="U498" s="327"/>
      <c r="V498" s="321"/>
      <c r="W498" s="327"/>
      <c r="X498" s="321"/>
      <c r="Y498" s="327"/>
      <c r="Z498" s="321"/>
      <c r="AA498" s="321"/>
      <c r="AB498" s="321"/>
      <c r="AC498" s="321"/>
      <c r="AD498" s="321"/>
      <c r="AE498" s="321"/>
    </row>
    <row r="499" spans="3:31" x14ac:dyDescent="0.25">
      <c r="C499" s="321"/>
      <c r="D499" s="325">
        <v>9</v>
      </c>
      <c r="E499" s="322">
        <f>M77</f>
        <v>-4950</v>
      </c>
      <c r="F499" s="326">
        <f>V109+W109</f>
        <v>-792.2</v>
      </c>
      <c r="G499" s="326">
        <f t="shared" ca="1" si="60"/>
        <v>0</v>
      </c>
      <c r="H499" s="326">
        <f t="shared" ca="1" si="60"/>
        <v>0</v>
      </c>
      <c r="I499" s="326">
        <f t="shared" ca="1" si="60"/>
        <v>0</v>
      </c>
      <c r="J499" s="326">
        <f t="shared" ca="1" si="60"/>
        <v>0</v>
      </c>
      <c r="K499" s="326">
        <f t="shared" ca="1" si="60"/>
        <v>0</v>
      </c>
      <c r="L499" s="326">
        <f>V293+W293</f>
        <v>-792.2</v>
      </c>
      <c r="M499" s="321"/>
      <c r="N499" s="321"/>
      <c r="O499" s="321"/>
      <c r="P499" s="321"/>
      <c r="Q499" s="321"/>
      <c r="R499" s="321"/>
      <c r="S499" s="321"/>
      <c r="T499" s="321"/>
      <c r="U499" s="321"/>
      <c r="V499" s="321"/>
      <c r="W499" s="321"/>
      <c r="X499" s="321"/>
      <c r="Y499" s="321"/>
      <c r="Z499" s="321"/>
      <c r="AA499" s="321"/>
      <c r="AB499" s="321"/>
      <c r="AC499" s="321"/>
      <c r="AD499" s="321"/>
      <c r="AE499" s="321"/>
    </row>
    <row r="500" spans="3:31" x14ac:dyDescent="0.25">
      <c r="C500" s="321"/>
      <c r="D500" s="325">
        <v>10</v>
      </c>
      <c r="E500" s="322">
        <f>N77</f>
        <v>-4950</v>
      </c>
      <c r="F500" s="326">
        <f>X109+Y109</f>
        <v>-792.2</v>
      </c>
      <c r="G500" s="326">
        <f t="shared" ca="1" si="60"/>
        <v>0</v>
      </c>
      <c r="H500" s="326">
        <f t="shared" ca="1" si="60"/>
        <v>0</v>
      </c>
      <c r="I500" s="326">
        <f t="shared" ca="1" si="60"/>
        <v>0</v>
      </c>
      <c r="J500" s="326">
        <f t="shared" ca="1" si="60"/>
        <v>0</v>
      </c>
      <c r="K500" s="326">
        <f t="shared" ca="1" si="60"/>
        <v>0</v>
      </c>
      <c r="L500" s="326">
        <f>X293+Y293</f>
        <v>-792.2</v>
      </c>
      <c r="M500" s="321"/>
      <c r="N500" s="321"/>
      <c r="O500" s="321"/>
      <c r="P500" s="321"/>
      <c r="Q500" s="321"/>
      <c r="R500" s="321"/>
      <c r="S500" s="321"/>
      <c r="T500" s="321"/>
      <c r="U500" s="321"/>
      <c r="V500" s="321"/>
      <c r="W500" s="321"/>
      <c r="X500" s="321"/>
      <c r="Y500" s="321"/>
      <c r="Z500" s="321"/>
      <c r="AA500" s="321"/>
      <c r="AB500" s="321"/>
      <c r="AC500" s="321"/>
      <c r="AD500" s="321"/>
      <c r="AE500" s="321"/>
    </row>
    <row r="501" spans="3:31" x14ac:dyDescent="0.25">
      <c r="C501" s="321"/>
      <c r="D501" s="325">
        <v>11</v>
      </c>
      <c r="E501" s="322">
        <f>O77</f>
        <v>3210.0000000000009</v>
      </c>
      <c r="F501" s="326">
        <f>Z109+AA109</f>
        <v>2207.8000000000002</v>
      </c>
      <c r="G501" s="326">
        <f t="shared" ca="1" si="60"/>
        <v>0</v>
      </c>
      <c r="H501" s="326">
        <f t="shared" ca="1" si="60"/>
        <v>0</v>
      </c>
      <c r="I501" s="326">
        <f t="shared" ca="1" si="60"/>
        <v>0</v>
      </c>
      <c r="J501" s="326">
        <f t="shared" ca="1" si="60"/>
        <v>0</v>
      </c>
      <c r="K501" s="326">
        <f t="shared" ca="1" si="60"/>
        <v>0</v>
      </c>
      <c r="L501" s="326">
        <f>Z293+AA293</f>
        <v>-792.2</v>
      </c>
      <c r="M501" s="321"/>
      <c r="N501" s="321"/>
      <c r="O501" s="321"/>
      <c r="P501" s="321"/>
      <c r="Q501" s="321"/>
      <c r="R501" s="321"/>
      <c r="S501" s="321"/>
      <c r="T501" s="321"/>
      <c r="U501" s="321"/>
      <c r="V501" s="321"/>
      <c r="W501" s="321"/>
      <c r="X501" s="321"/>
      <c r="Y501" s="321"/>
      <c r="Z501" s="321"/>
      <c r="AA501" s="321"/>
      <c r="AB501" s="321"/>
      <c r="AC501" s="321"/>
      <c r="AD501" s="321"/>
      <c r="AE501" s="321"/>
    </row>
    <row r="502" spans="3:31" x14ac:dyDescent="0.25">
      <c r="C502" s="321"/>
      <c r="D502" s="325">
        <v>12</v>
      </c>
      <c r="E502" s="322">
        <f>P77</f>
        <v>0</v>
      </c>
      <c r="F502" s="326">
        <f>AB109+AC109</f>
        <v>0</v>
      </c>
      <c r="G502" s="326" t="e">
        <f t="shared" ca="1" si="60"/>
        <v>#REF!</v>
      </c>
      <c r="H502" s="326" t="e">
        <f t="shared" ca="1" si="60"/>
        <v>#REF!</v>
      </c>
      <c r="I502" s="326" t="e">
        <f t="shared" ca="1" si="60"/>
        <v>#REF!</v>
      </c>
      <c r="J502" s="326" t="e">
        <f t="shared" ca="1" si="60"/>
        <v>#REF!</v>
      </c>
      <c r="K502" s="326" t="e">
        <f t="shared" ca="1" si="60"/>
        <v>#REF!</v>
      </c>
      <c r="L502" s="326">
        <f>AB293+AC293</f>
        <v>0</v>
      </c>
      <c r="M502" s="321"/>
      <c r="N502" s="321"/>
      <c r="O502" s="321"/>
      <c r="P502" s="321"/>
      <c r="Q502" s="321"/>
      <c r="R502" s="321"/>
      <c r="S502" s="321"/>
      <c r="T502" s="321"/>
      <c r="U502" s="321"/>
      <c r="V502" s="321"/>
      <c r="W502" s="321"/>
      <c r="X502" s="321"/>
      <c r="Y502" s="321"/>
      <c r="Z502" s="321"/>
      <c r="AA502" s="321"/>
      <c r="AB502" s="321"/>
      <c r="AC502" s="321"/>
      <c r="AD502" s="321"/>
      <c r="AE502" s="321"/>
    </row>
    <row r="503" spans="3:31" x14ac:dyDescent="0.25">
      <c r="C503" s="321"/>
      <c r="D503" s="325">
        <v>13</v>
      </c>
      <c r="E503" s="322">
        <f>Q77</f>
        <v>0</v>
      </c>
      <c r="F503" s="326">
        <f>AD109+AE109</f>
        <v>0</v>
      </c>
      <c r="G503" s="326">
        <f t="shared" ca="1" si="60"/>
        <v>0</v>
      </c>
      <c r="H503" s="326">
        <f t="shared" ca="1" si="60"/>
        <v>0</v>
      </c>
      <c r="I503" s="326">
        <f t="shared" ca="1" si="60"/>
        <v>0</v>
      </c>
      <c r="J503" s="326">
        <f t="shared" ca="1" si="60"/>
        <v>0</v>
      </c>
      <c r="K503" s="326">
        <f t="shared" ca="1" si="60"/>
        <v>0</v>
      </c>
      <c r="L503" s="326">
        <f>AD293+AE293</f>
        <v>0</v>
      </c>
      <c r="M503" s="321"/>
      <c r="N503" s="321"/>
      <c r="O503" s="321"/>
      <c r="P503" s="321"/>
      <c r="Q503" s="321"/>
      <c r="R503" s="321"/>
      <c r="S503" s="321"/>
      <c r="T503" s="321"/>
      <c r="U503" s="321"/>
      <c r="V503" s="321"/>
      <c r="W503" s="321"/>
      <c r="X503" s="321"/>
      <c r="Y503" s="321"/>
      <c r="Z503" s="321"/>
      <c r="AA503" s="321"/>
      <c r="AB503" s="321"/>
      <c r="AC503" s="321"/>
      <c r="AD503" s="321"/>
      <c r="AE503" s="321"/>
    </row>
    <row r="504" spans="3:31" x14ac:dyDescent="0.25">
      <c r="C504" s="321"/>
      <c r="D504" s="325">
        <v>14</v>
      </c>
      <c r="E504" s="322">
        <f>R77</f>
        <v>0</v>
      </c>
      <c r="F504" s="326">
        <f>AF109+AG109</f>
        <v>0</v>
      </c>
      <c r="G504" s="326">
        <f t="shared" ca="1" si="60"/>
        <v>0</v>
      </c>
      <c r="H504" s="326">
        <f t="shared" ca="1" si="60"/>
        <v>0</v>
      </c>
      <c r="I504" s="326">
        <f t="shared" ca="1" si="60"/>
        <v>0</v>
      </c>
      <c r="J504" s="326">
        <f t="shared" ca="1" si="60"/>
        <v>0</v>
      </c>
      <c r="K504" s="326">
        <f t="shared" ca="1" si="60"/>
        <v>0</v>
      </c>
      <c r="L504" s="326">
        <f>AF293+AG293</f>
        <v>0</v>
      </c>
      <c r="M504" s="321"/>
      <c r="N504" s="321"/>
      <c r="O504" s="321"/>
      <c r="P504" s="321"/>
      <c r="Q504" s="321"/>
      <c r="R504" s="321"/>
      <c r="S504" s="321"/>
      <c r="T504" s="321"/>
      <c r="U504" s="321"/>
      <c r="V504" s="321"/>
      <c r="W504" s="321"/>
      <c r="X504" s="321"/>
      <c r="Y504" s="321"/>
      <c r="Z504" s="321"/>
      <c r="AA504" s="321"/>
      <c r="AB504" s="321"/>
      <c r="AC504" s="321"/>
      <c r="AD504" s="321"/>
      <c r="AE504" s="321"/>
    </row>
    <row r="505" spans="3:31" x14ac:dyDescent="0.25">
      <c r="C505" s="321"/>
      <c r="D505" s="325">
        <v>15</v>
      </c>
      <c r="E505" s="322">
        <f>S77</f>
        <v>0</v>
      </c>
      <c r="F505" s="326">
        <f>AH109+AI109</f>
        <v>0</v>
      </c>
      <c r="G505" s="326">
        <f t="shared" ca="1" si="60"/>
        <v>0</v>
      </c>
      <c r="H505" s="326">
        <f t="shared" ca="1" si="60"/>
        <v>0</v>
      </c>
      <c r="I505" s="326">
        <f t="shared" ca="1" si="60"/>
        <v>0</v>
      </c>
      <c r="J505" s="326">
        <f t="shared" ca="1" si="60"/>
        <v>0</v>
      </c>
      <c r="K505" s="326">
        <f t="shared" ca="1" si="60"/>
        <v>0</v>
      </c>
      <c r="L505" s="326">
        <f>AH293+AI293</f>
        <v>0</v>
      </c>
      <c r="M505" s="321"/>
      <c r="N505" s="321"/>
      <c r="O505" s="321"/>
      <c r="P505" s="321"/>
      <c r="Q505" s="321"/>
      <c r="R505" s="321"/>
      <c r="S505" s="321"/>
      <c r="T505" s="321"/>
      <c r="U505" s="321"/>
      <c r="V505" s="321"/>
      <c r="W505" s="321"/>
      <c r="X505" s="321"/>
      <c r="Y505" s="321"/>
      <c r="Z505" s="321"/>
      <c r="AA505" s="321"/>
      <c r="AB505" s="321"/>
      <c r="AC505" s="321"/>
      <c r="AD505" s="321"/>
      <c r="AE505" s="321"/>
    </row>
    <row r="506" spans="3:31" x14ac:dyDescent="0.25">
      <c r="C506" s="321"/>
      <c r="D506" s="325">
        <v>16</v>
      </c>
      <c r="E506" s="322">
        <f>T77</f>
        <v>0</v>
      </c>
      <c r="F506" s="326">
        <f>AJ109+AK109</f>
        <v>0</v>
      </c>
      <c r="G506" s="326">
        <f t="shared" ref="G506:K507" ca="1" si="61">INDIRECT(ADDRESS(G$488,4+$D506*2))+INDIRECT(ADDRESS(G$488,4+$D506*2+1))</f>
        <v>0</v>
      </c>
      <c r="H506" s="326">
        <f t="shared" ca="1" si="61"/>
        <v>0</v>
      </c>
      <c r="I506" s="326">
        <f t="shared" ca="1" si="61"/>
        <v>0</v>
      </c>
      <c r="J506" s="326">
        <f t="shared" ca="1" si="61"/>
        <v>0</v>
      </c>
      <c r="K506" s="326">
        <f t="shared" ca="1" si="61"/>
        <v>0</v>
      </c>
      <c r="L506" s="326">
        <f>AJ293+AK293</f>
        <v>0</v>
      </c>
      <c r="M506" s="321"/>
      <c r="N506" s="321"/>
      <c r="O506" s="321"/>
      <c r="P506" s="321"/>
      <c r="Q506" s="321"/>
      <c r="R506" s="321"/>
      <c r="S506" s="321"/>
      <c r="T506" s="321"/>
      <c r="U506" s="321"/>
      <c r="V506" s="321"/>
      <c r="W506" s="321"/>
      <c r="X506" s="321"/>
      <c r="Y506" s="321"/>
      <c r="Z506" s="321"/>
      <c r="AA506" s="321"/>
      <c r="AB506" s="321"/>
      <c r="AC506" s="321"/>
      <c r="AD506" s="321"/>
      <c r="AE506" s="321"/>
    </row>
    <row r="507" spans="3:31" x14ac:dyDescent="0.25">
      <c r="C507" s="321"/>
      <c r="D507" s="325">
        <v>17</v>
      </c>
      <c r="E507" s="322">
        <f>U77</f>
        <v>0</v>
      </c>
      <c r="F507" s="326">
        <f>AL109+AM109</f>
        <v>0</v>
      </c>
      <c r="G507" s="326">
        <f t="shared" ca="1" si="61"/>
        <v>0</v>
      </c>
      <c r="H507" s="326">
        <f t="shared" ca="1" si="61"/>
        <v>0</v>
      </c>
      <c r="I507" s="326">
        <f t="shared" ca="1" si="61"/>
        <v>0</v>
      </c>
      <c r="J507" s="326">
        <f t="shared" ca="1" si="61"/>
        <v>0</v>
      </c>
      <c r="K507" s="326">
        <f t="shared" ca="1" si="61"/>
        <v>0</v>
      </c>
      <c r="L507" s="326">
        <f>AL293+AM293</f>
        <v>0</v>
      </c>
      <c r="M507" s="321"/>
      <c r="N507" s="321"/>
      <c r="O507" s="321"/>
      <c r="P507" s="321"/>
      <c r="Q507" s="321"/>
      <c r="R507" s="321"/>
      <c r="S507" s="321"/>
      <c r="T507" s="321"/>
      <c r="U507" s="321"/>
      <c r="V507" s="321"/>
      <c r="W507" s="321"/>
      <c r="X507" s="321"/>
      <c r="Y507" s="321"/>
      <c r="Z507" s="321"/>
      <c r="AA507" s="321"/>
      <c r="AB507" s="321"/>
      <c r="AC507" s="321"/>
      <c r="AD507" s="321"/>
      <c r="AE507" s="321"/>
    </row>
    <row r="508" spans="3:31" x14ac:dyDescent="0.25">
      <c r="C508" s="321"/>
      <c r="D508" s="321"/>
      <c r="E508" s="321"/>
      <c r="F508" s="321"/>
      <c r="G508" s="321"/>
      <c r="H508" s="321"/>
      <c r="I508" s="321"/>
      <c r="J508" s="321"/>
      <c r="K508" s="321"/>
      <c r="L508" s="321"/>
      <c r="M508" s="328"/>
      <c r="N508" s="328"/>
      <c r="O508" s="328"/>
      <c r="P508" s="321"/>
      <c r="Q508" s="321"/>
      <c r="R508" s="321"/>
      <c r="S508" s="321"/>
      <c r="T508" s="321"/>
      <c r="U508" s="321"/>
      <c r="V508" s="321"/>
      <c r="W508" s="321"/>
      <c r="X508" s="321"/>
      <c r="Y508" s="321"/>
      <c r="Z508" s="321"/>
      <c r="AA508" s="321"/>
      <c r="AB508" s="321"/>
      <c r="AC508" s="321"/>
      <c r="AD508" s="321"/>
      <c r="AE508" s="321"/>
    </row>
    <row r="509" spans="3:31" x14ac:dyDescent="0.25">
      <c r="C509" s="321"/>
      <c r="D509" s="321" t="s">
        <v>77</v>
      </c>
      <c r="E509" s="321" t="s">
        <v>123</v>
      </c>
      <c r="F509" s="321" t="s">
        <v>38</v>
      </c>
      <c r="G509" s="321"/>
      <c r="H509" s="321"/>
      <c r="I509" s="321"/>
      <c r="J509" s="321"/>
      <c r="K509" s="321"/>
      <c r="L509" s="321"/>
      <c r="M509" s="261"/>
      <c r="N509" s="261"/>
      <c r="O509" s="261"/>
      <c r="P509" s="321"/>
      <c r="Q509" s="321"/>
      <c r="R509" s="321"/>
      <c r="S509" s="321"/>
      <c r="T509" s="321"/>
      <c r="U509" s="321"/>
      <c r="V509" s="321"/>
      <c r="W509" s="321"/>
      <c r="X509" s="321"/>
      <c r="Y509" s="321"/>
      <c r="Z509" s="321"/>
      <c r="AA509" s="321"/>
      <c r="AB509" s="321"/>
      <c r="AC509" s="321"/>
      <c r="AD509" s="321"/>
      <c r="AE509" s="321"/>
    </row>
    <row r="510" spans="3:31" x14ac:dyDescent="0.25">
      <c r="C510" s="321"/>
      <c r="D510" s="261">
        <f t="shared" ref="D510:D527" si="62">D490</f>
        <v>0</v>
      </c>
      <c r="E510" s="329">
        <f t="shared" ref="E510:L510" si="63">IF($D$510&lt;$D$136,-E490,0)</f>
        <v>39840</v>
      </c>
      <c r="F510" s="329">
        <f t="shared" si="63"/>
        <v>35396.1</v>
      </c>
      <c r="G510" s="329" t="e">
        <f t="shared" ca="1" si="63"/>
        <v>#REF!</v>
      </c>
      <c r="H510" s="329" t="e">
        <f t="shared" ca="1" si="63"/>
        <v>#REF!</v>
      </c>
      <c r="I510" s="329" t="e">
        <f t="shared" ca="1" si="63"/>
        <v>#REF!</v>
      </c>
      <c r="J510" s="329" t="e">
        <f t="shared" ca="1" si="63"/>
        <v>#REF!</v>
      </c>
      <c r="K510" s="329" t="e">
        <f t="shared" ca="1" si="63"/>
        <v>#REF!</v>
      </c>
      <c r="L510" s="329" t="e">
        <f t="shared" si="63"/>
        <v>#REF!</v>
      </c>
      <c r="M510" s="321"/>
      <c r="N510" s="321"/>
      <c r="O510" s="321"/>
      <c r="P510" s="321"/>
      <c r="Q510" s="261"/>
      <c r="R510" s="321"/>
      <c r="S510" s="330"/>
      <c r="T510" s="321"/>
      <c r="U510" s="321" t="s">
        <v>78</v>
      </c>
      <c r="V510" s="321"/>
      <c r="W510" s="321"/>
      <c r="X510" s="321"/>
      <c r="Y510" s="321"/>
      <c r="Z510" s="321"/>
      <c r="AA510" s="321"/>
      <c r="AB510" s="321"/>
      <c r="AC510" s="321"/>
      <c r="AD510" s="321"/>
      <c r="AE510" s="321"/>
    </row>
    <row r="511" spans="3:31" x14ac:dyDescent="0.25">
      <c r="C511" s="321"/>
      <c r="D511" s="261">
        <f t="shared" si="62"/>
        <v>1</v>
      </c>
      <c r="E511" s="329">
        <f t="shared" ref="E511:L526" si="64">IF($D511&lt;$D$136,-E491+E510,0)</f>
        <v>44790</v>
      </c>
      <c r="F511" s="329">
        <f t="shared" si="64"/>
        <v>36188.299999999996</v>
      </c>
      <c r="G511" s="329" t="e">
        <f t="shared" ca="1" si="64"/>
        <v>#REF!</v>
      </c>
      <c r="H511" s="329" t="e">
        <f t="shared" ca="1" si="64"/>
        <v>#REF!</v>
      </c>
      <c r="I511" s="329" t="e">
        <f t="shared" ca="1" si="64"/>
        <v>#REF!</v>
      </c>
      <c r="J511" s="329" t="e">
        <f t="shared" ca="1" si="64"/>
        <v>#REF!</v>
      </c>
      <c r="K511" s="329" t="e">
        <f t="shared" ca="1" si="64"/>
        <v>#REF!</v>
      </c>
      <c r="L511" s="329" t="e">
        <f t="shared" si="64"/>
        <v>#REF!</v>
      </c>
      <c r="M511" s="321"/>
      <c r="N511" s="321"/>
      <c r="O511" s="321"/>
      <c r="P511" s="321"/>
      <c r="Q511" s="261"/>
      <c r="R511" s="321"/>
      <c r="S511" s="330"/>
      <c r="T511" s="321"/>
      <c r="U511" s="321" t="s">
        <v>78</v>
      </c>
      <c r="V511" s="321"/>
      <c r="W511" s="321"/>
      <c r="X511" s="321"/>
      <c r="Y511" s="321"/>
      <c r="Z511" s="321"/>
      <c r="AA511" s="321"/>
      <c r="AB511" s="321"/>
      <c r="AC511" s="321"/>
      <c r="AD511" s="321"/>
      <c r="AE511" s="321"/>
    </row>
    <row r="512" spans="3:31" x14ac:dyDescent="0.25">
      <c r="C512" s="321"/>
      <c r="D512" s="261">
        <f t="shared" si="62"/>
        <v>2</v>
      </c>
      <c r="E512" s="329">
        <f t="shared" si="64"/>
        <v>49740</v>
      </c>
      <c r="F512" s="329">
        <f t="shared" si="64"/>
        <v>36980.499999999993</v>
      </c>
      <c r="G512" s="329" t="e">
        <f t="shared" ca="1" si="64"/>
        <v>#REF!</v>
      </c>
      <c r="H512" s="329" t="e">
        <f t="shared" ca="1" si="64"/>
        <v>#REF!</v>
      </c>
      <c r="I512" s="329" t="e">
        <f t="shared" ca="1" si="64"/>
        <v>#REF!</v>
      </c>
      <c r="J512" s="329" t="e">
        <f t="shared" ca="1" si="64"/>
        <v>#REF!</v>
      </c>
      <c r="K512" s="329" t="e">
        <f t="shared" ca="1" si="64"/>
        <v>#REF!</v>
      </c>
      <c r="L512" s="329" t="e">
        <f t="shared" si="64"/>
        <v>#REF!</v>
      </c>
      <c r="M512" s="321"/>
      <c r="N512" s="321"/>
      <c r="O512" s="321"/>
      <c r="P512" s="321"/>
      <c r="Q512" s="261"/>
      <c r="R512" s="321"/>
      <c r="S512" s="330"/>
      <c r="T512" s="321"/>
      <c r="U512" s="321" t="s">
        <v>78</v>
      </c>
      <c r="V512" s="321"/>
      <c r="W512" s="321"/>
      <c r="X512" s="321"/>
      <c r="Y512" s="321"/>
      <c r="Z512" s="321"/>
      <c r="AA512" s="321"/>
      <c r="AB512" s="321"/>
      <c r="AC512" s="321"/>
      <c r="AD512" s="321"/>
      <c r="AE512" s="321"/>
    </row>
    <row r="513" spans="2:44" s="50" customFormat="1" x14ac:dyDescent="0.25">
      <c r="B513" s="180"/>
      <c r="C513" s="331"/>
      <c r="D513" s="261">
        <f t="shared" si="62"/>
        <v>3</v>
      </c>
      <c r="E513" s="329">
        <f t="shared" si="64"/>
        <v>54690</v>
      </c>
      <c r="F513" s="329">
        <f t="shared" si="64"/>
        <v>37772.69999999999</v>
      </c>
      <c r="G513" s="329" t="e">
        <f t="shared" ca="1" si="64"/>
        <v>#REF!</v>
      </c>
      <c r="H513" s="329" t="e">
        <f t="shared" ca="1" si="64"/>
        <v>#REF!</v>
      </c>
      <c r="I513" s="329" t="e">
        <f t="shared" ca="1" si="64"/>
        <v>#REF!</v>
      </c>
      <c r="J513" s="329" t="e">
        <f t="shared" ca="1" si="64"/>
        <v>#REF!</v>
      </c>
      <c r="K513" s="329" t="e">
        <f t="shared" ca="1" si="64"/>
        <v>#REF!</v>
      </c>
      <c r="L513" s="329" t="e">
        <f t="shared" si="64"/>
        <v>#REF!</v>
      </c>
      <c r="M513" s="321"/>
      <c r="N513" s="321"/>
      <c r="O513" s="321"/>
      <c r="P513" s="321"/>
      <c r="Q513" s="327"/>
      <c r="R513" s="332"/>
      <c r="S513" s="327"/>
      <c r="T513" s="332"/>
      <c r="U513" s="333"/>
      <c r="V513" s="332"/>
      <c r="W513" s="332"/>
      <c r="X513" s="332"/>
      <c r="Y513" s="332"/>
      <c r="Z513" s="332"/>
      <c r="AA513" s="332"/>
      <c r="AB513" s="332"/>
      <c r="AC513" s="332"/>
      <c r="AD513" s="332"/>
      <c r="AE513" s="332"/>
      <c r="AR513" s="179"/>
    </row>
    <row r="514" spans="2:44" s="50" customFormat="1" x14ac:dyDescent="0.25">
      <c r="B514" s="180"/>
      <c r="C514" s="331"/>
      <c r="D514" s="261">
        <f t="shared" si="62"/>
        <v>4</v>
      </c>
      <c r="E514" s="329">
        <f t="shared" si="64"/>
        <v>59640</v>
      </c>
      <c r="F514" s="329">
        <f t="shared" si="64"/>
        <v>42064.899999999987</v>
      </c>
      <c r="G514" s="329" t="e">
        <f t="shared" ca="1" si="64"/>
        <v>#REF!</v>
      </c>
      <c r="H514" s="329" t="e">
        <f t="shared" ca="1" si="64"/>
        <v>#REF!</v>
      </c>
      <c r="I514" s="329" t="e">
        <f t="shared" ca="1" si="64"/>
        <v>#REF!</v>
      </c>
      <c r="J514" s="329" t="e">
        <f t="shared" ca="1" si="64"/>
        <v>#REF!</v>
      </c>
      <c r="K514" s="329" t="e">
        <f t="shared" ca="1" si="64"/>
        <v>#REF!</v>
      </c>
      <c r="L514" s="329" t="e">
        <f t="shared" si="64"/>
        <v>#REF!</v>
      </c>
      <c r="M514" s="321"/>
      <c r="N514" s="321"/>
      <c r="O514" s="321"/>
      <c r="P514" s="321"/>
      <c r="Q514" s="332"/>
      <c r="R514" s="332"/>
      <c r="S514" s="327"/>
      <c r="T514" s="332"/>
      <c r="U514" s="327"/>
      <c r="V514" s="332"/>
      <c r="W514" s="332"/>
      <c r="X514" s="332"/>
      <c r="Y514" s="332"/>
      <c r="Z514" s="332"/>
      <c r="AA514" s="332"/>
      <c r="AB514" s="332"/>
      <c r="AC514" s="332"/>
      <c r="AD514" s="332"/>
      <c r="AE514" s="332"/>
      <c r="AR514" s="179"/>
    </row>
    <row r="515" spans="2:44" x14ac:dyDescent="0.25">
      <c r="C515" s="321"/>
      <c r="D515" s="261">
        <f t="shared" si="62"/>
        <v>5</v>
      </c>
      <c r="E515" s="329">
        <f t="shared" si="64"/>
        <v>64590</v>
      </c>
      <c r="F515" s="329">
        <f t="shared" si="64"/>
        <v>42857.099999999984</v>
      </c>
      <c r="G515" s="329" t="e">
        <f t="shared" ca="1" si="64"/>
        <v>#REF!</v>
      </c>
      <c r="H515" s="329" t="e">
        <f t="shared" ca="1" si="64"/>
        <v>#REF!</v>
      </c>
      <c r="I515" s="329" t="e">
        <f t="shared" ca="1" si="64"/>
        <v>#REF!</v>
      </c>
      <c r="J515" s="329" t="e">
        <f t="shared" ca="1" si="64"/>
        <v>#REF!</v>
      </c>
      <c r="K515" s="329" t="e">
        <f t="shared" ca="1" si="64"/>
        <v>#REF!</v>
      </c>
      <c r="L515" s="329" t="e">
        <f t="shared" si="64"/>
        <v>#REF!</v>
      </c>
      <c r="M515" s="321"/>
      <c r="N515" s="321"/>
      <c r="O515" s="321"/>
      <c r="P515" s="321"/>
      <c r="Q515" s="321"/>
      <c r="R515" s="321"/>
      <c r="S515" s="321"/>
      <c r="T515" s="321"/>
      <c r="U515" s="321"/>
      <c r="V515" s="321"/>
      <c r="W515" s="321"/>
      <c r="X515" s="321"/>
      <c r="Y515" s="321"/>
      <c r="Z515" s="321"/>
      <c r="AA515" s="321"/>
      <c r="AB515" s="321"/>
      <c r="AC515" s="321"/>
      <c r="AD515" s="321"/>
      <c r="AE515" s="321"/>
    </row>
    <row r="516" spans="2:44" x14ac:dyDescent="0.25">
      <c r="C516" s="321"/>
      <c r="D516" s="261">
        <f t="shared" si="62"/>
        <v>6</v>
      </c>
      <c r="E516" s="329">
        <f t="shared" si="64"/>
        <v>109380</v>
      </c>
      <c r="F516" s="329">
        <f t="shared" si="64"/>
        <v>43649.299999999981</v>
      </c>
      <c r="G516" s="329" t="e">
        <f t="shared" ca="1" si="64"/>
        <v>#REF!</v>
      </c>
      <c r="H516" s="329" t="e">
        <f t="shared" ca="1" si="64"/>
        <v>#REF!</v>
      </c>
      <c r="I516" s="329" t="e">
        <f t="shared" ca="1" si="64"/>
        <v>#REF!</v>
      </c>
      <c r="J516" s="329" t="e">
        <f t="shared" ca="1" si="64"/>
        <v>#REF!</v>
      </c>
      <c r="K516" s="329" t="e">
        <f t="shared" ca="1" si="64"/>
        <v>#REF!</v>
      </c>
      <c r="L516" s="329" t="e">
        <f t="shared" si="64"/>
        <v>#REF!</v>
      </c>
      <c r="M516" s="321"/>
      <c r="N516" s="321"/>
      <c r="O516" s="321"/>
      <c r="P516" s="321"/>
      <c r="Q516" s="321"/>
      <c r="R516" s="321"/>
      <c r="S516" s="321"/>
      <c r="T516" s="321"/>
      <c r="U516" s="321"/>
      <c r="V516" s="321"/>
      <c r="W516" s="321"/>
      <c r="X516" s="321"/>
      <c r="Y516" s="321"/>
      <c r="Z516" s="321"/>
      <c r="AA516" s="321"/>
      <c r="AB516" s="321"/>
      <c r="AC516" s="321"/>
      <c r="AD516" s="321"/>
      <c r="AE516" s="321"/>
    </row>
    <row r="517" spans="2:44" x14ac:dyDescent="0.25">
      <c r="C517" s="321"/>
      <c r="D517" s="261">
        <f t="shared" si="62"/>
        <v>7</v>
      </c>
      <c r="E517" s="329">
        <f t="shared" si="64"/>
        <v>114330</v>
      </c>
      <c r="F517" s="329">
        <f t="shared" si="64"/>
        <v>44441.499999999978</v>
      </c>
      <c r="G517" s="329" t="e">
        <f t="shared" ca="1" si="64"/>
        <v>#REF!</v>
      </c>
      <c r="H517" s="329" t="e">
        <f t="shared" ca="1" si="64"/>
        <v>#REF!</v>
      </c>
      <c r="I517" s="329" t="e">
        <f t="shared" ca="1" si="64"/>
        <v>#REF!</v>
      </c>
      <c r="J517" s="329" t="e">
        <f t="shared" ca="1" si="64"/>
        <v>#REF!</v>
      </c>
      <c r="K517" s="329" t="e">
        <f t="shared" ca="1" si="64"/>
        <v>#REF!</v>
      </c>
      <c r="L517" s="329" t="e">
        <f t="shared" si="64"/>
        <v>#REF!</v>
      </c>
      <c r="M517" s="321"/>
      <c r="N517" s="321"/>
      <c r="O517" s="321"/>
      <c r="P517" s="321"/>
      <c r="Q517" s="321"/>
      <c r="R517" s="321"/>
      <c r="S517" s="321"/>
      <c r="T517" s="327"/>
      <c r="U517" s="321"/>
      <c r="V517" s="327"/>
      <c r="W517" s="321"/>
      <c r="X517" s="327"/>
      <c r="Y517" s="321"/>
      <c r="Z517" s="327"/>
      <c r="AA517" s="321"/>
      <c r="AB517" s="327"/>
      <c r="AC517" s="321"/>
      <c r="AD517" s="321"/>
      <c r="AE517" s="321"/>
    </row>
    <row r="518" spans="2:44" x14ac:dyDescent="0.25">
      <c r="C518" s="321"/>
      <c r="D518" s="261">
        <f t="shared" si="62"/>
        <v>8</v>
      </c>
      <c r="E518" s="329">
        <f t="shared" si="64"/>
        <v>119280</v>
      </c>
      <c r="F518" s="329">
        <f t="shared" si="64"/>
        <v>48733.699999999975</v>
      </c>
      <c r="G518" s="329" t="e">
        <f t="shared" ca="1" si="64"/>
        <v>#REF!</v>
      </c>
      <c r="H518" s="329" t="e">
        <f t="shared" ca="1" si="64"/>
        <v>#REF!</v>
      </c>
      <c r="I518" s="329" t="e">
        <f t="shared" ca="1" si="64"/>
        <v>#REF!</v>
      </c>
      <c r="J518" s="329" t="e">
        <f t="shared" ca="1" si="64"/>
        <v>#REF!</v>
      </c>
      <c r="K518" s="329" t="e">
        <f t="shared" ca="1" si="64"/>
        <v>#REF!</v>
      </c>
      <c r="L518" s="329" t="e">
        <f t="shared" si="64"/>
        <v>#REF!</v>
      </c>
      <c r="M518" s="321"/>
      <c r="N518" s="321"/>
      <c r="O518" s="321"/>
      <c r="P518" s="321"/>
      <c r="Q518" s="321"/>
      <c r="R518" s="321"/>
      <c r="S518" s="321"/>
      <c r="T518" s="327"/>
      <c r="U518" s="321"/>
      <c r="V518" s="327"/>
      <c r="W518" s="321"/>
      <c r="X518" s="327"/>
      <c r="Y518" s="321"/>
      <c r="Z518" s="327"/>
      <c r="AA518" s="321"/>
      <c r="AB518" s="327"/>
      <c r="AC518" s="321"/>
      <c r="AD518" s="321"/>
      <c r="AE518" s="321"/>
    </row>
    <row r="519" spans="2:44" x14ac:dyDescent="0.25">
      <c r="C519" s="321"/>
      <c r="D519" s="261">
        <f t="shared" si="62"/>
        <v>9</v>
      </c>
      <c r="E519" s="329">
        <f t="shared" si="64"/>
        <v>124230</v>
      </c>
      <c r="F519" s="329">
        <f t="shared" si="64"/>
        <v>49525.899999999972</v>
      </c>
      <c r="G519" s="329" t="e">
        <f t="shared" ca="1" si="64"/>
        <v>#REF!</v>
      </c>
      <c r="H519" s="329" t="e">
        <f t="shared" ca="1" si="64"/>
        <v>#REF!</v>
      </c>
      <c r="I519" s="329" t="e">
        <f t="shared" ca="1" si="64"/>
        <v>#REF!</v>
      </c>
      <c r="J519" s="329" t="e">
        <f t="shared" ca="1" si="64"/>
        <v>#REF!</v>
      </c>
      <c r="K519" s="329" t="e">
        <f t="shared" ca="1" si="64"/>
        <v>#REF!</v>
      </c>
      <c r="L519" s="329" t="e">
        <f t="shared" si="64"/>
        <v>#REF!</v>
      </c>
      <c r="M519" s="321"/>
      <c r="N519" s="321"/>
      <c r="O519" s="321"/>
      <c r="P519" s="321"/>
      <c r="Q519" s="321"/>
      <c r="R519" s="321"/>
      <c r="S519" s="321"/>
      <c r="T519" s="321"/>
      <c r="U519" s="321"/>
      <c r="V519" s="321"/>
      <c r="W519" s="321"/>
      <c r="X519" s="321"/>
      <c r="Y519" s="321"/>
      <c r="Z519" s="321"/>
      <c r="AA519" s="321"/>
      <c r="AB519" s="321"/>
      <c r="AC519" s="321"/>
      <c r="AD519" s="321"/>
      <c r="AE519" s="321"/>
    </row>
    <row r="520" spans="2:44" s="50" customFormat="1" x14ac:dyDescent="0.25">
      <c r="B520" s="180"/>
      <c r="C520" s="331"/>
      <c r="D520" s="261">
        <f t="shared" si="62"/>
        <v>10</v>
      </c>
      <c r="E520" s="329">
        <f t="shared" si="64"/>
        <v>129180</v>
      </c>
      <c r="F520" s="329">
        <f t="shared" si="64"/>
        <v>50318.099999999969</v>
      </c>
      <c r="G520" s="329" t="e">
        <f t="shared" ca="1" si="64"/>
        <v>#REF!</v>
      </c>
      <c r="H520" s="329" t="e">
        <f t="shared" ca="1" si="64"/>
        <v>#REF!</v>
      </c>
      <c r="I520" s="329" t="e">
        <f t="shared" ca="1" si="64"/>
        <v>#REF!</v>
      </c>
      <c r="J520" s="329" t="e">
        <f t="shared" ca="1" si="64"/>
        <v>#REF!</v>
      </c>
      <c r="K520" s="329" t="e">
        <f t="shared" ca="1" si="64"/>
        <v>#REF!</v>
      </c>
      <c r="L520" s="329" t="e">
        <f t="shared" si="64"/>
        <v>#REF!</v>
      </c>
      <c r="M520" s="321"/>
      <c r="N520" s="321"/>
      <c r="O520" s="321"/>
      <c r="P520" s="321"/>
      <c r="Q520" s="332"/>
      <c r="R520" s="332"/>
      <c r="S520" s="327"/>
      <c r="T520" s="332"/>
      <c r="U520" s="327"/>
      <c r="V520" s="332"/>
      <c r="W520" s="327"/>
      <c r="X520" s="332"/>
      <c r="Y520" s="332"/>
      <c r="Z520" s="332"/>
      <c r="AA520" s="332"/>
      <c r="AB520" s="332"/>
      <c r="AC520" s="332"/>
      <c r="AD520" s="332"/>
      <c r="AE520" s="332"/>
      <c r="AO520" s="179"/>
      <c r="AP520" s="179"/>
      <c r="AQ520" s="179"/>
      <c r="AR520" s="179"/>
    </row>
    <row r="521" spans="2:44" x14ac:dyDescent="0.25">
      <c r="C521" s="321"/>
      <c r="D521" s="261">
        <f t="shared" si="62"/>
        <v>11</v>
      </c>
      <c r="E521" s="329">
        <f t="shared" si="64"/>
        <v>125970</v>
      </c>
      <c r="F521" s="329">
        <f t="shared" si="64"/>
        <v>48110.299999999967</v>
      </c>
      <c r="G521" s="329" t="e">
        <f t="shared" ca="1" si="64"/>
        <v>#REF!</v>
      </c>
      <c r="H521" s="329" t="e">
        <f t="shared" ca="1" si="64"/>
        <v>#REF!</v>
      </c>
      <c r="I521" s="329" t="e">
        <f t="shared" ca="1" si="64"/>
        <v>#REF!</v>
      </c>
      <c r="J521" s="329" t="e">
        <f t="shared" ca="1" si="64"/>
        <v>#REF!</v>
      </c>
      <c r="K521" s="329" t="e">
        <f t="shared" ca="1" si="64"/>
        <v>#REF!</v>
      </c>
      <c r="L521" s="329" t="e">
        <f t="shared" si="64"/>
        <v>#REF!</v>
      </c>
      <c r="M521" s="321"/>
      <c r="N521" s="321"/>
      <c r="O521" s="321"/>
      <c r="P521" s="321"/>
      <c r="Q521" s="321"/>
      <c r="R521" s="321"/>
      <c r="S521" s="321"/>
      <c r="T521" s="321"/>
      <c r="U521" s="321"/>
      <c r="V521" s="321"/>
      <c r="W521" s="321"/>
      <c r="X521" s="321"/>
      <c r="Y521" s="321"/>
      <c r="Z521" s="321"/>
      <c r="AA521" s="321"/>
      <c r="AB521" s="321"/>
      <c r="AC521" s="321"/>
      <c r="AD521" s="321"/>
      <c r="AE521" s="321"/>
    </row>
    <row r="522" spans="2:44" x14ac:dyDescent="0.25">
      <c r="C522" s="321"/>
      <c r="D522" s="261">
        <f t="shared" si="62"/>
        <v>12</v>
      </c>
      <c r="E522" s="329">
        <f t="shared" si="64"/>
        <v>0</v>
      </c>
      <c r="F522" s="329">
        <f t="shared" si="64"/>
        <v>0</v>
      </c>
      <c r="G522" s="329">
        <f t="shared" si="64"/>
        <v>0</v>
      </c>
      <c r="H522" s="329">
        <f t="shared" si="64"/>
        <v>0</v>
      </c>
      <c r="I522" s="329">
        <f t="shared" si="64"/>
        <v>0</v>
      </c>
      <c r="J522" s="329">
        <f t="shared" si="64"/>
        <v>0</v>
      </c>
      <c r="K522" s="329">
        <f t="shared" si="64"/>
        <v>0</v>
      </c>
      <c r="L522" s="329">
        <f t="shared" si="64"/>
        <v>0</v>
      </c>
      <c r="M522" s="321"/>
      <c r="N522" s="321"/>
      <c r="O522" s="321"/>
      <c r="P522" s="321"/>
      <c r="Q522" s="321"/>
      <c r="R522" s="321"/>
      <c r="S522" s="321"/>
      <c r="T522" s="321"/>
      <c r="U522" s="321"/>
      <c r="V522" s="321"/>
      <c r="W522" s="321"/>
      <c r="X522" s="321"/>
      <c r="Y522" s="321"/>
      <c r="Z522" s="321"/>
      <c r="AA522" s="321"/>
      <c r="AB522" s="321"/>
      <c r="AC522" s="321"/>
      <c r="AD522" s="321"/>
      <c r="AE522" s="321"/>
    </row>
    <row r="523" spans="2:44" x14ac:dyDescent="0.25">
      <c r="C523" s="321"/>
      <c r="D523" s="261">
        <f t="shared" si="62"/>
        <v>13</v>
      </c>
      <c r="E523" s="329">
        <f t="shared" si="64"/>
        <v>0</v>
      </c>
      <c r="F523" s="329">
        <f t="shared" si="64"/>
        <v>0</v>
      </c>
      <c r="G523" s="329">
        <f t="shared" si="64"/>
        <v>0</v>
      </c>
      <c r="H523" s="329">
        <f t="shared" si="64"/>
        <v>0</v>
      </c>
      <c r="I523" s="329">
        <f t="shared" si="64"/>
        <v>0</v>
      </c>
      <c r="J523" s="329">
        <f t="shared" si="64"/>
        <v>0</v>
      </c>
      <c r="K523" s="329">
        <f t="shared" si="64"/>
        <v>0</v>
      </c>
      <c r="L523" s="329">
        <f t="shared" si="64"/>
        <v>0</v>
      </c>
      <c r="M523" s="321"/>
      <c r="N523" s="321"/>
      <c r="O523" s="321"/>
      <c r="P523" s="321"/>
      <c r="Q523" s="321"/>
      <c r="R523" s="321"/>
      <c r="S523" s="321"/>
      <c r="T523" s="321"/>
      <c r="U523" s="321"/>
      <c r="V523" s="321"/>
      <c r="W523" s="321"/>
      <c r="X523" s="321"/>
      <c r="Y523" s="321"/>
      <c r="Z523" s="321"/>
      <c r="AA523" s="321"/>
      <c r="AB523" s="321"/>
      <c r="AC523" s="321"/>
      <c r="AD523" s="321"/>
      <c r="AE523" s="321"/>
    </row>
    <row r="524" spans="2:44" x14ac:dyDescent="0.25">
      <c r="C524" s="321"/>
      <c r="D524" s="261">
        <f t="shared" si="62"/>
        <v>14</v>
      </c>
      <c r="E524" s="329">
        <f t="shared" si="64"/>
        <v>0</v>
      </c>
      <c r="F524" s="329">
        <f t="shared" si="64"/>
        <v>0</v>
      </c>
      <c r="G524" s="329">
        <f t="shared" si="64"/>
        <v>0</v>
      </c>
      <c r="H524" s="329">
        <f t="shared" si="64"/>
        <v>0</v>
      </c>
      <c r="I524" s="329">
        <f t="shared" si="64"/>
        <v>0</v>
      </c>
      <c r="J524" s="329">
        <f t="shared" si="64"/>
        <v>0</v>
      </c>
      <c r="K524" s="329">
        <f t="shared" si="64"/>
        <v>0</v>
      </c>
      <c r="L524" s="329">
        <f t="shared" si="64"/>
        <v>0</v>
      </c>
      <c r="M524" s="321"/>
      <c r="N524" s="321"/>
      <c r="O524" s="321"/>
      <c r="P524" s="321"/>
      <c r="Q524" s="321"/>
      <c r="R524" s="321"/>
      <c r="S524" s="321"/>
      <c r="T524" s="321"/>
      <c r="U524" s="321"/>
      <c r="V524" s="321"/>
      <c r="W524" s="321"/>
      <c r="X524" s="321"/>
      <c r="Y524" s="321"/>
      <c r="Z524" s="321"/>
      <c r="AA524" s="321"/>
      <c r="AB524" s="321"/>
      <c r="AC524" s="321"/>
      <c r="AD524" s="321"/>
      <c r="AE524" s="321"/>
    </row>
    <row r="525" spans="2:44" x14ac:dyDescent="0.25">
      <c r="C525" s="321"/>
      <c r="D525" s="261">
        <f t="shared" si="62"/>
        <v>15</v>
      </c>
      <c r="E525" s="329">
        <f t="shared" si="64"/>
        <v>0</v>
      </c>
      <c r="F525" s="329">
        <f t="shared" si="64"/>
        <v>0</v>
      </c>
      <c r="G525" s="329">
        <f t="shared" si="64"/>
        <v>0</v>
      </c>
      <c r="H525" s="329">
        <f t="shared" si="64"/>
        <v>0</v>
      </c>
      <c r="I525" s="329">
        <f t="shared" si="64"/>
        <v>0</v>
      </c>
      <c r="J525" s="329">
        <f t="shared" si="64"/>
        <v>0</v>
      </c>
      <c r="K525" s="329">
        <f t="shared" si="64"/>
        <v>0</v>
      </c>
      <c r="L525" s="329">
        <f t="shared" si="64"/>
        <v>0</v>
      </c>
      <c r="M525" s="321"/>
      <c r="N525" s="321"/>
      <c r="O525" s="321"/>
      <c r="P525" s="321"/>
      <c r="Q525" s="321"/>
      <c r="R525" s="321"/>
      <c r="S525" s="321"/>
      <c r="T525" s="321"/>
      <c r="U525" s="321"/>
      <c r="V525" s="321"/>
      <c r="W525" s="321"/>
      <c r="X525" s="321"/>
      <c r="Y525" s="321"/>
      <c r="Z525" s="321"/>
      <c r="AA525" s="321"/>
      <c r="AB525" s="321"/>
      <c r="AC525" s="321"/>
      <c r="AD525" s="321"/>
      <c r="AE525" s="321"/>
    </row>
    <row r="526" spans="2:44" x14ac:dyDescent="0.25">
      <c r="C526" s="321"/>
      <c r="D526" s="261">
        <f t="shared" si="62"/>
        <v>16</v>
      </c>
      <c r="E526" s="329">
        <f t="shared" si="64"/>
        <v>0</v>
      </c>
      <c r="F526" s="329">
        <f t="shared" si="64"/>
        <v>0</v>
      </c>
      <c r="G526" s="329">
        <f t="shared" si="64"/>
        <v>0</v>
      </c>
      <c r="H526" s="329">
        <f t="shared" si="64"/>
        <v>0</v>
      </c>
      <c r="I526" s="329">
        <f t="shared" si="64"/>
        <v>0</v>
      </c>
      <c r="J526" s="329">
        <f t="shared" si="64"/>
        <v>0</v>
      </c>
      <c r="K526" s="329">
        <f t="shared" si="64"/>
        <v>0</v>
      </c>
      <c r="L526" s="329">
        <f t="shared" si="64"/>
        <v>0</v>
      </c>
      <c r="M526" s="321"/>
      <c r="N526" s="321"/>
      <c r="O526" s="321"/>
      <c r="P526" s="321"/>
      <c r="Q526" s="321"/>
      <c r="R526" s="321"/>
      <c r="S526" s="321"/>
      <c r="T526" s="321"/>
      <c r="U526" s="321"/>
      <c r="V526" s="321"/>
      <c r="W526" s="321"/>
      <c r="X526" s="321"/>
      <c r="Y526" s="321"/>
      <c r="Z526" s="321"/>
      <c r="AA526" s="321"/>
      <c r="AB526" s="321"/>
      <c r="AC526" s="321"/>
      <c r="AD526" s="321"/>
      <c r="AE526" s="321"/>
    </row>
    <row r="527" spans="2:44" x14ac:dyDescent="0.25">
      <c r="C527" s="321"/>
      <c r="D527" s="261">
        <f t="shared" si="62"/>
        <v>17</v>
      </c>
      <c r="E527" s="329">
        <f t="shared" ref="E527:L527" si="65">IF($D527&lt;$D$136,-E507+E526,0)</f>
        <v>0</v>
      </c>
      <c r="F527" s="329">
        <f t="shared" si="65"/>
        <v>0</v>
      </c>
      <c r="G527" s="329">
        <f t="shared" si="65"/>
        <v>0</v>
      </c>
      <c r="H527" s="329">
        <f t="shared" si="65"/>
        <v>0</v>
      </c>
      <c r="I527" s="329">
        <f t="shared" si="65"/>
        <v>0</v>
      </c>
      <c r="J527" s="329">
        <f t="shared" si="65"/>
        <v>0</v>
      </c>
      <c r="K527" s="329">
        <f t="shared" si="65"/>
        <v>0</v>
      </c>
      <c r="L527" s="329">
        <f t="shared" si="65"/>
        <v>0</v>
      </c>
      <c r="M527" s="321"/>
      <c r="N527" s="321"/>
      <c r="O527" s="321"/>
      <c r="P527" s="321"/>
      <c r="Q527" s="321"/>
      <c r="R527" s="321"/>
      <c r="S527" s="321"/>
      <c r="T527" s="321"/>
      <c r="U527" s="321"/>
      <c r="V527" s="321"/>
      <c r="W527" s="321"/>
      <c r="X527" s="321"/>
      <c r="Y527" s="321"/>
      <c r="Z527" s="321"/>
      <c r="AA527" s="321"/>
      <c r="AB527" s="321"/>
      <c r="AC527" s="321"/>
      <c r="AD527" s="321"/>
      <c r="AE527" s="321"/>
    </row>
    <row r="528" spans="2:44" x14ac:dyDescent="0.25">
      <c r="C528" s="321"/>
      <c r="D528" s="261"/>
      <c r="E528" s="261"/>
      <c r="F528" s="261"/>
      <c r="G528" s="261"/>
      <c r="H528" s="261"/>
      <c r="I528" s="321"/>
      <c r="J528" s="321"/>
      <c r="K528" s="321"/>
      <c r="L528" s="321"/>
      <c r="M528" s="321"/>
      <c r="N528" s="321"/>
      <c r="O528" s="321"/>
      <c r="P528" s="321"/>
      <c r="Q528" s="321"/>
      <c r="R528" s="321"/>
      <c r="S528" s="321"/>
      <c r="T528" s="321"/>
      <c r="U528" s="321"/>
      <c r="V528" s="321"/>
      <c r="W528" s="321"/>
      <c r="X528" s="321"/>
      <c r="Y528" s="321"/>
      <c r="Z528" s="321"/>
      <c r="AA528" s="321"/>
      <c r="AB528" s="321"/>
      <c r="AC528" s="321"/>
      <c r="AD528" s="321"/>
      <c r="AE528" s="321"/>
    </row>
    <row r="529" spans="3:31" x14ac:dyDescent="0.25">
      <c r="C529" s="321"/>
      <c r="D529" s="261"/>
      <c r="E529" s="261" t="s">
        <v>79</v>
      </c>
      <c r="F529" s="261"/>
      <c r="G529" s="261"/>
      <c r="H529" s="261"/>
      <c r="I529" s="321"/>
      <c r="J529" s="321"/>
      <c r="K529" s="321"/>
      <c r="L529" s="321"/>
      <c r="M529" s="321"/>
      <c r="N529" s="321"/>
      <c r="O529" s="321"/>
      <c r="P529" s="321"/>
      <c r="Q529" s="321"/>
      <c r="R529" s="321"/>
      <c r="S529" s="321"/>
      <c r="T529" s="321"/>
      <c r="U529" s="321"/>
      <c r="V529" s="321"/>
      <c r="W529" s="321"/>
      <c r="X529" s="321"/>
      <c r="Y529" s="321"/>
      <c r="Z529" s="321"/>
      <c r="AA529" s="321"/>
      <c r="AB529" s="321"/>
      <c r="AC529" s="321"/>
      <c r="AD529" s="321"/>
      <c r="AE529" s="321"/>
    </row>
    <row r="530" spans="3:31" x14ac:dyDescent="0.25">
      <c r="C530" s="321"/>
      <c r="D530" s="261" t="s">
        <v>77</v>
      </c>
      <c r="E530" s="261"/>
      <c r="F530" s="321">
        <v>2020</v>
      </c>
      <c r="G530" s="321">
        <v>2021</v>
      </c>
      <c r="H530" s="321">
        <v>2022</v>
      </c>
      <c r="I530" s="321">
        <v>2023</v>
      </c>
      <c r="J530" s="321">
        <v>2024</v>
      </c>
      <c r="K530" s="321">
        <v>2025</v>
      </c>
      <c r="L530" s="321">
        <v>2026</v>
      </c>
      <c r="M530" s="261" t="s">
        <v>80</v>
      </c>
      <c r="N530" s="321"/>
      <c r="O530" s="321"/>
      <c r="P530" s="321"/>
      <c r="Q530" s="321"/>
      <c r="R530" s="321"/>
      <c r="S530" s="321"/>
      <c r="T530" s="321"/>
      <c r="U530" s="321"/>
      <c r="V530" s="321"/>
      <c r="W530" s="321"/>
      <c r="X530" s="321"/>
      <c r="Y530" s="321"/>
      <c r="Z530" s="321"/>
      <c r="AA530" s="321"/>
      <c r="AB530" s="321"/>
      <c r="AC530" s="321"/>
      <c r="AD530" s="321"/>
      <c r="AE530" s="321"/>
    </row>
    <row r="531" spans="3:31" x14ac:dyDescent="0.25">
      <c r="C531" s="321"/>
      <c r="D531" s="261">
        <f t="shared" ref="D531:D548" si="66">D490</f>
        <v>0</v>
      </c>
      <c r="E531" s="261"/>
      <c r="F531" s="321">
        <f t="shared" ref="F531:L546" si="67">IF(F510&lt;=$E510,1,0)</f>
        <v>1</v>
      </c>
      <c r="G531" s="321" t="e">
        <f t="shared" ca="1" si="67"/>
        <v>#REF!</v>
      </c>
      <c r="H531" s="321" t="e">
        <f t="shared" ca="1" si="67"/>
        <v>#REF!</v>
      </c>
      <c r="I531" s="321" t="e">
        <f t="shared" ca="1" si="67"/>
        <v>#REF!</v>
      </c>
      <c r="J531" s="321" t="e">
        <f t="shared" ca="1" si="67"/>
        <v>#REF!</v>
      </c>
      <c r="K531" s="321" t="e">
        <f t="shared" ca="1" si="67"/>
        <v>#REF!</v>
      </c>
      <c r="L531" s="321" t="e">
        <f t="shared" si="67"/>
        <v>#REF!</v>
      </c>
      <c r="M531" s="325">
        <f t="shared" ref="M531:M548" si="68">D490</f>
        <v>0</v>
      </c>
      <c r="N531" s="327"/>
      <c r="O531" s="332"/>
      <c r="P531" s="321"/>
      <c r="Q531" s="321"/>
      <c r="R531" s="321"/>
      <c r="S531" s="321"/>
      <c r="T531" s="321"/>
      <c r="U531" s="321"/>
      <c r="V531" s="321"/>
      <c r="W531" s="321"/>
      <c r="X531" s="321"/>
      <c r="Y531" s="321"/>
      <c r="Z531" s="321"/>
      <c r="AA531" s="321"/>
      <c r="AB531" s="321"/>
      <c r="AC531" s="321"/>
      <c r="AD531" s="321"/>
      <c r="AE531" s="321"/>
    </row>
    <row r="532" spans="3:31" x14ac:dyDescent="0.25">
      <c r="C532" s="321"/>
      <c r="D532" s="261">
        <f t="shared" si="66"/>
        <v>1</v>
      </c>
      <c r="E532" s="261"/>
      <c r="F532" s="321">
        <f t="shared" si="67"/>
        <v>1</v>
      </c>
      <c r="G532" s="321" t="e">
        <f t="shared" ca="1" si="67"/>
        <v>#REF!</v>
      </c>
      <c r="H532" s="321" t="e">
        <f t="shared" ca="1" si="67"/>
        <v>#REF!</v>
      </c>
      <c r="I532" s="321" t="e">
        <f t="shared" ca="1" si="67"/>
        <v>#REF!</v>
      </c>
      <c r="J532" s="321" t="e">
        <f t="shared" ca="1" si="67"/>
        <v>#REF!</v>
      </c>
      <c r="K532" s="321" t="e">
        <f t="shared" ca="1" si="67"/>
        <v>#REF!</v>
      </c>
      <c r="L532" s="321" t="e">
        <f t="shared" si="67"/>
        <v>#REF!</v>
      </c>
      <c r="M532" s="325">
        <f t="shared" si="68"/>
        <v>1</v>
      </c>
      <c r="N532" s="321">
        <v>2020</v>
      </c>
      <c r="O532" s="330" t="e">
        <f t="shared" ref="O532:O542" ca="1" si="69">INDIRECT(ADDRESS(ROW($F$554),COLUMN($F$554)+N532-$N$532))</f>
        <v>#VALUE!</v>
      </c>
      <c r="P532" s="321"/>
      <c r="Q532" s="321"/>
      <c r="R532" s="321"/>
      <c r="S532" s="321"/>
      <c r="T532" s="321"/>
      <c r="U532" s="321"/>
      <c r="V532" s="321"/>
      <c r="W532" s="321"/>
      <c r="X532" s="321"/>
      <c r="Y532" s="321"/>
      <c r="Z532" s="321"/>
      <c r="AA532" s="321"/>
      <c r="AB532" s="321"/>
      <c r="AC532" s="321"/>
      <c r="AD532" s="321"/>
      <c r="AE532" s="321"/>
    </row>
    <row r="533" spans="3:31" x14ac:dyDescent="0.25">
      <c r="C533" s="321"/>
      <c r="D533" s="261">
        <f t="shared" si="66"/>
        <v>2</v>
      </c>
      <c r="E533" s="261"/>
      <c r="F533" s="321">
        <f t="shared" si="67"/>
        <v>1</v>
      </c>
      <c r="G533" s="321" t="e">
        <f t="shared" ca="1" si="67"/>
        <v>#REF!</v>
      </c>
      <c r="H533" s="321" t="e">
        <f t="shared" ca="1" si="67"/>
        <v>#REF!</v>
      </c>
      <c r="I533" s="321" t="e">
        <f t="shared" ca="1" si="67"/>
        <v>#REF!</v>
      </c>
      <c r="J533" s="321" t="e">
        <f t="shared" ca="1" si="67"/>
        <v>#REF!</v>
      </c>
      <c r="K533" s="321" t="e">
        <f t="shared" ca="1" si="67"/>
        <v>#REF!</v>
      </c>
      <c r="L533" s="321" t="e">
        <f t="shared" si="67"/>
        <v>#REF!</v>
      </c>
      <c r="M533" s="325">
        <f t="shared" si="68"/>
        <v>2</v>
      </c>
      <c r="N533" s="321">
        <v>2021</v>
      </c>
      <c r="O533" s="330" t="e">
        <f t="shared" ca="1" si="69"/>
        <v>#REF!</v>
      </c>
      <c r="P533" s="321"/>
      <c r="Q533" s="321"/>
      <c r="R533" s="321"/>
      <c r="S533" s="321"/>
      <c r="T533" s="321"/>
      <c r="U533" s="321"/>
      <c r="V533" s="321"/>
      <c r="W533" s="321"/>
      <c r="X533" s="321"/>
      <c r="Y533" s="321"/>
      <c r="Z533" s="321"/>
      <c r="AA533" s="321"/>
      <c r="AB533" s="321"/>
      <c r="AC533" s="321"/>
      <c r="AD533" s="321"/>
      <c r="AE533" s="321"/>
    </row>
    <row r="534" spans="3:31" x14ac:dyDescent="0.25">
      <c r="C534" s="321"/>
      <c r="D534" s="261">
        <f t="shared" si="66"/>
        <v>3</v>
      </c>
      <c r="E534" s="321"/>
      <c r="F534" s="321">
        <f t="shared" si="67"/>
        <v>1</v>
      </c>
      <c r="G534" s="321" t="e">
        <f t="shared" ca="1" si="67"/>
        <v>#REF!</v>
      </c>
      <c r="H534" s="321" t="e">
        <f t="shared" ca="1" si="67"/>
        <v>#REF!</v>
      </c>
      <c r="I534" s="321" t="e">
        <f t="shared" ca="1" si="67"/>
        <v>#REF!</v>
      </c>
      <c r="J534" s="321" t="e">
        <f t="shared" ca="1" si="67"/>
        <v>#REF!</v>
      </c>
      <c r="K534" s="321" t="e">
        <f t="shared" ca="1" si="67"/>
        <v>#REF!</v>
      </c>
      <c r="L534" s="321" t="e">
        <f t="shared" si="67"/>
        <v>#REF!</v>
      </c>
      <c r="M534" s="325">
        <f t="shared" si="68"/>
        <v>3</v>
      </c>
      <c r="N534" s="321">
        <v>2022</v>
      </c>
      <c r="O534" s="330" t="e">
        <f t="shared" ca="1" si="69"/>
        <v>#REF!</v>
      </c>
      <c r="P534" s="321"/>
      <c r="Q534" s="321"/>
      <c r="R534" s="321"/>
      <c r="S534" s="321"/>
      <c r="T534" s="321"/>
      <c r="U534" s="321"/>
      <c r="V534" s="321"/>
      <c r="W534" s="321"/>
      <c r="X534" s="321"/>
      <c r="Y534" s="321"/>
      <c r="Z534" s="321"/>
      <c r="AA534" s="321"/>
      <c r="AB534" s="321"/>
      <c r="AC534" s="321"/>
      <c r="AD534" s="321"/>
      <c r="AE534" s="321"/>
    </row>
    <row r="535" spans="3:31" x14ac:dyDescent="0.25">
      <c r="C535" s="321"/>
      <c r="D535" s="261">
        <f t="shared" si="66"/>
        <v>4</v>
      </c>
      <c r="E535" s="321"/>
      <c r="F535" s="321">
        <f t="shared" si="67"/>
        <v>1</v>
      </c>
      <c r="G535" s="321" t="e">
        <f t="shared" ca="1" si="67"/>
        <v>#REF!</v>
      </c>
      <c r="H535" s="321" t="e">
        <f t="shared" ca="1" si="67"/>
        <v>#REF!</v>
      </c>
      <c r="I535" s="321" t="e">
        <f t="shared" ca="1" si="67"/>
        <v>#REF!</v>
      </c>
      <c r="J535" s="321" t="e">
        <f t="shared" ca="1" si="67"/>
        <v>#REF!</v>
      </c>
      <c r="K535" s="321" t="e">
        <f t="shared" ca="1" si="67"/>
        <v>#REF!</v>
      </c>
      <c r="L535" s="321" t="e">
        <f t="shared" si="67"/>
        <v>#REF!</v>
      </c>
      <c r="M535" s="325">
        <f t="shared" si="68"/>
        <v>4</v>
      </c>
      <c r="N535" s="321">
        <v>2023</v>
      </c>
      <c r="O535" s="330" t="e">
        <f t="shared" ca="1" si="69"/>
        <v>#REF!</v>
      </c>
      <c r="P535" s="321"/>
      <c r="Q535" s="321"/>
      <c r="R535" s="321"/>
      <c r="S535" s="321"/>
      <c r="T535" s="321"/>
      <c r="U535" s="321"/>
      <c r="V535" s="321"/>
      <c r="W535" s="321"/>
      <c r="X535" s="321"/>
      <c r="Y535" s="321"/>
      <c r="Z535" s="321"/>
      <c r="AA535" s="321"/>
      <c r="AB535" s="321"/>
      <c r="AC535" s="321"/>
      <c r="AD535" s="321"/>
      <c r="AE535" s="321"/>
    </row>
    <row r="536" spans="3:31" x14ac:dyDescent="0.25">
      <c r="C536" s="321"/>
      <c r="D536" s="261">
        <f t="shared" si="66"/>
        <v>5</v>
      </c>
      <c r="E536" s="321"/>
      <c r="F536" s="321">
        <f t="shared" si="67"/>
        <v>1</v>
      </c>
      <c r="G536" s="321" t="e">
        <f t="shared" ca="1" si="67"/>
        <v>#REF!</v>
      </c>
      <c r="H536" s="321" t="e">
        <f t="shared" ca="1" si="67"/>
        <v>#REF!</v>
      </c>
      <c r="I536" s="321" t="e">
        <f t="shared" ca="1" si="67"/>
        <v>#REF!</v>
      </c>
      <c r="J536" s="321" t="e">
        <f t="shared" ca="1" si="67"/>
        <v>#REF!</v>
      </c>
      <c r="K536" s="321" t="e">
        <f t="shared" ca="1" si="67"/>
        <v>#REF!</v>
      </c>
      <c r="L536" s="321" t="e">
        <f t="shared" si="67"/>
        <v>#REF!</v>
      </c>
      <c r="M536" s="325">
        <f t="shared" si="68"/>
        <v>5</v>
      </c>
      <c r="N536" s="321">
        <v>2024</v>
      </c>
      <c r="O536" s="330" t="e">
        <f t="shared" ca="1" si="69"/>
        <v>#REF!</v>
      </c>
      <c r="P536" s="321"/>
      <c r="Q536" s="321"/>
      <c r="R536" s="321"/>
      <c r="S536" s="321"/>
      <c r="T536" s="321"/>
      <c r="U536" s="321"/>
      <c r="V536" s="321"/>
      <c r="W536" s="321"/>
      <c r="X536" s="321"/>
      <c r="Y536" s="321"/>
      <c r="Z536" s="321"/>
      <c r="AA536" s="321"/>
      <c r="AB536" s="321"/>
      <c r="AC536" s="321"/>
      <c r="AD536" s="321"/>
      <c r="AE536" s="321"/>
    </row>
    <row r="537" spans="3:31" x14ac:dyDescent="0.25">
      <c r="C537" s="321"/>
      <c r="D537" s="261">
        <f t="shared" si="66"/>
        <v>6</v>
      </c>
      <c r="E537" s="321"/>
      <c r="F537" s="321">
        <f t="shared" si="67"/>
        <v>1</v>
      </c>
      <c r="G537" s="321" t="e">
        <f t="shared" ca="1" si="67"/>
        <v>#REF!</v>
      </c>
      <c r="H537" s="321" t="e">
        <f t="shared" ca="1" si="67"/>
        <v>#REF!</v>
      </c>
      <c r="I537" s="321" t="e">
        <f t="shared" ca="1" si="67"/>
        <v>#REF!</v>
      </c>
      <c r="J537" s="321" t="e">
        <f t="shared" ca="1" si="67"/>
        <v>#REF!</v>
      </c>
      <c r="K537" s="321" t="e">
        <f t="shared" ca="1" si="67"/>
        <v>#REF!</v>
      </c>
      <c r="L537" s="321" t="e">
        <f t="shared" si="67"/>
        <v>#REF!</v>
      </c>
      <c r="M537" s="325">
        <f t="shared" si="68"/>
        <v>6</v>
      </c>
      <c r="N537" s="321">
        <v>2025</v>
      </c>
      <c r="O537" s="330" t="e">
        <f t="shared" ca="1" si="69"/>
        <v>#REF!</v>
      </c>
      <c r="P537" s="321"/>
      <c r="Q537" s="321"/>
      <c r="R537" s="321"/>
      <c r="S537" s="321"/>
      <c r="T537" s="321"/>
      <c r="U537" s="321"/>
      <c r="V537" s="321"/>
      <c r="W537" s="321"/>
      <c r="X537" s="321"/>
      <c r="Y537" s="321"/>
      <c r="Z537" s="321"/>
      <c r="AA537" s="321"/>
      <c r="AB537" s="321"/>
      <c r="AC537" s="321"/>
      <c r="AD537" s="321"/>
      <c r="AE537" s="321"/>
    </row>
    <row r="538" spans="3:31" x14ac:dyDescent="0.25">
      <c r="C538" s="321"/>
      <c r="D538" s="261">
        <f t="shared" si="66"/>
        <v>7</v>
      </c>
      <c r="E538" s="321"/>
      <c r="F538" s="321">
        <f t="shared" si="67"/>
        <v>1</v>
      </c>
      <c r="G538" s="321" t="e">
        <f t="shared" ca="1" si="67"/>
        <v>#REF!</v>
      </c>
      <c r="H538" s="321" t="e">
        <f t="shared" ca="1" si="67"/>
        <v>#REF!</v>
      </c>
      <c r="I538" s="321" t="e">
        <f t="shared" ca="1" si="67"/>
        <v>#REF!</v>
      </c>
      <c r="J538" s="321" t="e">
        <f t="shared" ca="1" si="67"/>
        <v>#REF!</v>
      </c>
      <c r="K538" s="321" t="e">
        <f t="shared" ca="1" si="67"/>
        <v>#REF!</v>
      </c>
      <c r="L538" s="321" t="e">
        <f t="shared" si="67"/>
        <v>#REF!</v>
      </c>
      <c r="M538" s="325">
        <f t="shared" si="68"/>
        <v>7</v>
      </c>
      <c r="N538" s="321">
        <v>2026</v>
      </c>
      <c r="O538" s="330" t="e">
        <f t="shared" ca="1" si="69"/>
        <v>#REF!</v>
      </c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  <c r="Z538" s="321"/>
      <c r="AA538" s="321"/>
      <c r="AB538" s="321"/>
      <c r="AC538" s="321"/>
      <c r="AD538" s="321"/>
      <c r="AE538" s="321"/>
    </row>
    <row r="539" spans="3:31" x14ac:dyDescent="0.25">
      <c r="C539" s="321"/>
      <c r="D539" s="261">
        <f t="shared" si="66"/>
        <v>8</v>
      </c>
      <c r="E539" s="321"/>
      <c r="F539" s="321">
        <f t="shared" si="67"/>
        <v>1</v>
      </c>
      <c r="G539" s="321" t="e">
        <f t="shared" ca="1" si="67"/>
        <v>#REF!</v>
      </c>
      <c r="H539" s="321" t="e">
        <f t="shared" ca="1" si="67"/>
        <v>#REF!</v>
      </c>
      <c r="I539" s="321" t="e">
        <f t="shared" ca="1" si="67"/>
        <v>#REF!</v>
      </c>
      <c r="J539" s="321" t="e">
        <f t="shared" ca="1" si="67"/>
        <v>#REF!</v>
      </c>
      <c r="K539" s="321" t="e">
        <f t="shared" ca="1" si="67"/>
        <v>#REF!</v>
      </c>
      <c r="L539" s="321" t="e">
        <f t="shared" si="67"/>
        <v>#REF!</v>
      </c>
      <c r="M539" s="325">
        <f t="shared" si="68"/>
        <v>8</v>
      </c>
      <c r="N539" s="321">
        <v>2027</v>
      </c>
      <c r="O539" s="330">
        <f t="shared" ca="1" si="69"/>
        <v>0</v>
      </c>
      <c r="P539" s="321"/>
      <c r="Q539" s="321"/>
      <c r="R539" s="321"/>
      <c r="S539" s="321"/>
      <c r="T539" s="321"/>
      <c r="U539" s="321"/>
      <c r="V539" s="321"/>
      <c r="W539" s="321"/>
      <c r="X539" s="321"/>
      <c r="Y539" s="321"/>
      <c r="Z539" s="321"/>
      <c r="AA539" s="321"/>
      <c r="AB539" s="321"/>
      <c r="AC539" s="321"/>
      <c r="AD539" s="321"/>
      <c r="AE539" s="321"/>
    </row>
    <row r="540" spans="3:31" x14ac:dyDescent="0.25">
      <c r="C540" s="321"/>
      <c r="D540" s="261">
        <f t="shared" si="66"/>
        <v>9</v>
      </c>
      <c r="E540" s="321"/>
      <c r="F540" s="321">
        <f t="shared" si="67"/>
        <v>1</v>
      </c>
      <c r="G540" s="321" t="e">
        <f t="shared" ca="1" si="67"/>
        <v>#REF!</v>
      </c>
      <c r="H540" s="321" t="e">
        <f t="shared" ca="1" si="67"/>
        <v>#REF!</v>
      </c>
      <c r="I540" s="321" t="e">
        <f t="shared" ca="1" si="67"/>
        <v>#REF!</v>
      </c>
      <c r="J540" s="321" t="e">
        <f t="shared" ca="1" si="67"/>
        <v>#REF!</v>
      </c>
      <c r="K540" s="321" t="e">
        <f t="shared" ca="1" si="67"/>
        <v>#REF!</v>
      </c>
      <c r="L540" s="321" t="e">
        <f t="shared" si="67"/>
        <v>#REF!</v>
      </c>
      <c r="M540" s="325">
        <f t="shared" si="68"/>
        <v>9</v>
      </c>
      <c r="N540" s="321">
        <v>2028</v>
      </c>
      <c r="O540" s="330">
        <f t="shared" ca="1" si="69"/>
        <v>0</v>
      </c>
      <c r="P540" s="321"/>
      <c r="Q540" s="321"/>
      <c r="R540" s="321"/>
      <c r="S540" s="321"/>
      <c r="T540" s="321"/>
      <c r="U540" s="321"/>
      <c r="V540" s="321"/>
      <c r="W540" s="321"/>
      <c r="X540" s="321"/>
      <c r="Y540" s="321"/>
      <c r="Z540" s="321"/>
      <c r="AA540" s="321"/>
      <c r="AB540" s="321"/>
      <c r="AC540" s="321"/>
      <c r="AD540" s="321"/>
      <c r="AE540" s="321"/>
    </row>
    <row r="541" spans="3:31" x14ac:dyDescent="0.25">
      <c r="C541" s="321"/>
      <c r="D541" s="261">
        <f t="shared" si="66"/>
        <v>10</v>
      </c>
      <c r="E541" s="321"/>
      <c r="F541" s="321">
        <f t="shared" si="67"/>
        <v>1</v>
      </c>
      <c r="G541" s="321" t="e">
        <f t="shared" ca="1" si="67"/>
        <v>#REF!</v>
      </c>
      <c r="H541" s="321" t="e">
        <f t="shared" ca="1" si="67"/>
        <v>#REF!</v>
      </c>
      <c r="I541" s="321" t="e">
        <f t="shared" ca="1" si="67"/>
        <v>#REF!</v>
      </c>
      <c r="J541" s="321" t="e">
        <f t="shared" ca="1" si="67"/>
        <v>#REF!</v>
      </c>
      <c r="K541" s="321" t="e">
        <f t="shared" ca="1" si="67"/>
        <v>#REF!</v>
      </c>
      <c r="L541" s="321" t="e">
        <f t="shared" si="67"/>
        <v>#REF!</v>
      </c>
      <c r="M541" s="325">
        <f t="shared" si="68"/>
        <v>10</v>
      </c>
      <c r="N541" s="321">
        <v>2029</v>
      </c>
      <c r="O541" s="330">
        <f t="shared" ca="1" si="69"/>
        <v>0</v>
      </c>
      <c r="P541" s="321"/>
      <c r="Q541" s="321"/>
      <c r="R541" s="321"/>
      <c r="S541" s="321"/>
      <c r="T541" s="321"/>
      <c r="U541" s="321"/>
      <c r="V541" s="321"/>
      <c r="W541" s="321"/>
      <c r="X541" s="321"/>
      <c r="Y541" s="321"/>
      <c r="Z541" s="321"/>
      <c r="AA541" s="321"/>
      <c r="AB541" s="321"/>
      <c r="AC541" s="321"/>
      <c r="AD541" s="321"/>
      <c r="AE541" s="321"/>
    </row>
    <row r="542" spans="3:31" x14ac:dyDescent="0.25">
      <c r="C542" s="321"/>
      <c r="D542" s="261">
        <f t="shared" si="66"/>
        <v>11</v>
      </c>
      <c r="E542" s="321"/>
      <c r="F542" s="321">
        <f t="shared" si="67"/>
        <v>1</v>
      </c>
      <c r="G542" s="321" t="e">
        <f t="shared" ca="1" si="67"/>
        <v>#REF!</v>
      </c>
      <c r="H542" s="321" t="e">
        <f t="shared" ca="1" si="67"/>
        <v>#REF!</v>
      </c>
      <c r="I542" s="321" t="e">
        <f t="shared" ca="1" si="67"/>
        <v>#REF!</v>
      </c>
      <c r="J542" s="321" t="e">
        <f t="shared" ca="1" si="67"/>
        <v>#REF!</v>
      </c>
      <c r="K542" s="321" t="e">
        <f t="shared" ca="1" si="67"/>
        <v>#REF!</v>
      </c>
      <c r="L542" s="321" t="e">
        <f t="shared" si="67"/>
        <v>#REF!</v>
      </c>
      <c r="M542" s="325">
        <f t="shared" si="68"/>
        <v>11</v>
      </c>
      <c r="N542" s="321">
        <v>2030</v>
      </c>
      <c r="O542" s="330">
        <f t="shared" ca="1" si="69"/>
        <v>0</v>
      </c>
      <c r="P542" s="321"/>
      <c r="Q542" s="321"/>
      <c r="R542" s="321"/>
      <c r="S542" s="321"/>
      <c r="T542" s="321"/>
      <c r="U542" s="321"/>
      <c r="V542" s="321"/>
      <c r="W542" s="321"/>
      <c r="X542" s="321"/>
      <c r="Y542" s="321"/>
      <c r="Z542" s="321"/>
      <c r="AA542" s="321"/>
      <c r="AB542" s="321"/>
      <c r="AC542" s="321"/>
      <c r="AD542" s="321"/>
      <c r="AE542" s="321"/>
    </row>
    <row r="543" spans="3:31" x14ac:dyDescent="0.25">
      <c r="C543" s="321"/>
      <c r="D543" s="261">
        <f t="shared" si="66"/>
        <v>12</v>
      </c>
      <c r="E543" s="321"/>
      <c r="F543" s="321">
        <f t="shared" si="67"/>
        <v>1</v>
      </c>
      <c r="G543" s="321">
        <f t="shared" si="67"/>
        <v>1</v>
      </c>
      <c r="H543" s="321">
        <f t="shared" si="67"/>
        <v>1</v>
      </c>
      <c r="I543" s="321">
        <f t="shared" si="67"/>
        <v>1</v>
      </c>
      <c r="J543" s="321">
        <f t="shared" si="67"/>
        <v>1</v>
      </c>
      <c r="K543" s="321">
        <f t="shared" si="67"/>
        <v>1</v>
      </c>
      <c r="L543" s="321">
        <f t="shared" si="67"/>
        <v>1</v>
      </c>
      <c r="M543" s="325">
        <f t="shared" si="68"/>
        <v>12</v>
      </c>
      <c r="N543" s="321"/>
      <c r="O543" s="321"/>
      <c r="P543" s="321"/>
      <c r="Q543" s="321"/>
      <c r="R543" s="321"/>
      <c r="S543" s="321"/>
      <c r="T543" s="321"/>
      <c r="U543" s="321"/>
      <c r="V543" s="321"/>
      <c r="W543" s="321"/>
      <c r="X543" s="321"/>
      <c r="Y543" s="321"/>
      <c r="Z543" s="321"/>
      <c r="AA543" s="321"/>
      <c r="AB543" s="321"/>
      <c r="AC543" s="321"/>
      <c r="AD543" s="321"/>
      <c r="AE543" s="321"/>
    </row>
    <row r="544" spans="3:31" x14ac:dyDescent="0.25">
      <c r="C544" s="321"/>
      <c r="D544" s="261">
        <f t="shared" si="66"/>
        <v>13</v>
      </c>
      <c r="E544" s="321"/>
      <c r="F544" s="321">
        <f t="shared" si="67"/>
        <v>1</v>
      </c>
      <c r="G544" s="321">
        <f t="shared" si="67"/>
        <v>1</v>
      </c>
      <c r="H544" s="321">
        <f t="shared" si="67"/>
        <v>1</v>
      </c>
      <c r="I544" s="321">
        <f t="shared" si="67"/>
        <v>1</v>
      </c>
      <c r="J544" s="321">
        <f t="shared" si="67"/>
        <v>1</v>
      </c>
      <c r="K544" s="321">
        <f t="shared" si="67"/>
        <v>1</v>
      </c>
      <c r="L544" s="321">
        <f t="shared" si="67"/>
        <v>1</v>
      </c>
      <c r="M544" s="325">
        <f t="shared" si="68"/>
        <v>13</v>
      </c>
      <c r="N544" s="321"/>
      <c r="O544" s="321"/>
      <c r="P544" s="321"/>
      <c r="Q544" s="321"/>
      <c r="R544" s="321"/>
      <c r="S544" s="321"/>
      <c r="T544" s="321"/>
      <c r="U544" s="321"/>
      <c r="V544" s="321"/>
      <c r="W544" s="321"/>
      <c r="X544" s="321"/>
      <c r="Y544" s="321"/>
      <c r="Z544" s="321"/>
      <c r="AA544" s="321"/>
      <c r="AB544" s="321"/>
      <c r="AC544" s="321"/>
      <c r="AD544" s="321"/>
      <c r="AE544" s="321"/>
    </row>
    <row r="545" spans="3:31" x14ac:dyDescent="0.25">
      <c r="C545" s="321"/>
      <c r="D545" s="261">
        <f t="shared" si="66"/>
        <v>14</v>
      </c>
      <c r="E545" s="321"/>
      <c r="F545" s="321">
        <f t="shared" si="67"/>
        <v>1</v>
      </c>
      <c r="G545" s="321">
        <f t="shared" si="67"/>
        <v>1</v>
      </c>
      <c r="H545" s="321">
        <f t="shared" si="67"/>
        <v>1</v>
      </c>
      <c r="I545" s="321">
        <f t="shared" si="67"/>
        <v>1</v>
      </c>
      <c r="J545" s="321">
        <f t="shared" si="67"/>
        <v>1</v>
      </c>
      <c r="K545" s="321">
        <f t="shared" si="67"/>
        <v>1</v>
      </c>
      <c r="L545" s="321">
        <f t="shared" si="67"/>
        <v>1</v>
      </c>
      <c r="M545" s="325">
        <f t="shared" si="68"/>
        <v>14</v>
      </c>
      <c r="N545" s="321"/>
      <c r="O545" s="321"/>
      <c r="P545" s="321"/>
      <c r="Q545" s="321"/>
      <c r="R545" s="321"/>
      <c r="S545" s="321"/>
      <c r="T545" s="321"/>
      <c r="U545" s="321"/>
      <c r="V545" s="321"/>
      <c r="W545" s="321"/>
      <c r="X545" s="321"/>
      <c r="Y545" s="321"/>
      <c r="Z545" s="321"/>
      <c r="AA545" s="321"/>
      <c r="AB545" s="321"/>
      <c r="AC545" s="321"/>
      <c r="AD545" s="321"/>
      <c r="AE545" s="321"/>
    </row>
    <row r="546" spans="3:31" x14ac:dyDescent="0.25">
      <c r="C546" s="321"/>
      <c r="D546" s="261">
        <f t="shared" si="66"/>
        <v>15</v>
      </c>
      <c r="E546" s="321"/>
      <c r="F546" s="321">
        <f t="shared" si="67"/>
        <v>1</v>
      </c>
      <c r="G546" s="321">
        <f t="shared" si="67"/>
        <v>1</v>
      </c>
      <c r="H546" s="321">
        <f t="shared" si="67"/>
        <v>1</v>
      </c>
      <c r="I546" s="321">
        <f t="shared" si="67"/>
        <v>1</v>
      </c>
      <c r="J546" s="321">
        <f t="shared" si="67"/>
        <v>1</v>
      </c>
      <c r="K546" s="321">
        <f t="shared" si="67"/>
        <v>1</v>
      </c>
      <c r="L546" s="321">
        <f t="shared" si="67"/>
        <v>1</v>
      </c>
      <c r="M546" s="325">
        <f t="shared" si="68"/>
        <v>15</v>
      </c>
      <c r="N546" s="321"/>
      <c r="O546" s="321"/>
      <c r="P546" s="321"/>
      <c r="Q546" s="321"/>
      <c r="R546" s="321"/>
      <c r="S546" s="321"/>
      <c r="T546" s="321"/>
      <c r="U546" s="321"/>
      <c r="V546" s="321"/>
      <c r="W546" s="321"/>
      <c r="X546" s="321"/>
      <c r="Y546" s="321"/>
      <c r="Z546" s="321"/>
      <c r="AA546" s="321"/>
      <c r="AB546" s="321"/>
      <c r="AC546" s="321"/>
      <c r="AD546" s="321"/>
      <c r="AE546" s="321"/>
    </row>
    <row r="547" spans="3:31" x14ac:dyDescent="0.25">
      <c r="C547" s="321"/>
      <c r="D547" s="261">
        <f t="shared" si="66"/>
        <v>16</v>
      </c>
      <c r="E547" s="321"/>
      <c r="F547" s="321">
        <f t="shared" ref="F547:L548" si="70">IF(F526&lt;=$E526,1,0)</f>
        <v>1</v>
      </c>
      <c r="G547" s="321">
        <f t="shared" si="70"/>
        <v>1</v>
      </c>
      <c r="H547" s="321">
        <f t="shared" si="70"/>
        <v>1</v>
      </c>
      <c r="I547" s="321">
        <f t="shared" si="70"/>
        <v>1</v>
      </c>
      <c r="J547" s="321">
        <f t="shared" si="70"/>
        <v>1</v>
      </c>
      <c r="K547" s="321">
        <f t="shared" si="70"/>
        <v>1</v>
      </c>
      <c r="L547" s="321">
        <f t="shared" si="70"/>
        <v>1</v>
      </c>
      <c r="M547" s="325">
        <f t="shared" si="68"/>
        <v>16</v>
      </c>
      <c r="N547" s="321"/>
      <c r="O547" s="321"/>
      <c r="P547" s="321"/>
      <c r="Q547" s="321"/>
      <c r="R547" s="321"/>
      <c r="S547" s="321"/>
      <c r="T547" s="321"/>
      <c r="U547" s="321"/>
      <c r="V547" s="321"/>
      <c r="W547" s="321"/>
      <c r="X547" s="321"/>
      <c r="Y547" s="321"/>
      <c r="Z547" s="321"/>
      <c r="AA547" s="321"/>
      <c r="AB547" s="321"/>
      <c r="AC547" s="321"/>
      <c r="AD547" s="321"/>
      <c r="AE547" s="321"/>
    </row>
    <row r="548" spans="3:31" x14ac:dyDescent="0.25">
      <c r="C548" s="321"/>
      <c r="D548" s="261">
        <f t="shared" si="66"/>
        <v>17</v>
      </c>
      <c r="E548" s="321"/>
      <c r="F548" s="321">
        <f t="shared" si="70"/>
        <v>1</v>
      </c>
      <c r="G548" s="321">
        <f t="shared" si="70"/>
        <v>1</v>
      </c>
      <c r="H548" s="321">
        <f t="shared" si="70"/>
        <v>1</v>
      </c>
      <c r="I548" s="321">
        <f t="shared" si="70"/>
        <v>1</v>
      </c>
      <c r="J548" s="321">
        <f t="shared" si="70"/>
        <v>1</v>
      </c>
      <c r="K548" s="321">
        <f t="shared" si="70"/>
        <v>1</v>
      </c>
      <c r="L548" s="321">
        <f t="shared" si="70"/>
        <v>1</v>
      </c>
      <c r="M548" s="325">
        <f t="shared" si="68"/>
        <v>17</v>
      </c>
      <c r="N548" s="321"/>
      <c r="O548" s="321"/>
      <c r="P548" s="321"/>
      <c r="Q548" s="321"/>
      <c r="R548" s="321"/>
      <c r="S548" s="321"/>
      <c r="T548" s="321"/>
      <c r="U548" s="321"/>
      <c r="V548" s="321"/>
      <c r="W548" s="321"/>
      <c r="X548" s="321"/>
      <c r="Y548" s="321"/>
      <c r="Z548" s="321"/>
      <c r="AA548" s="321"/>
      <c r="AB548" s="321"/>
      <c r="AC548" s="321"/>
      <c r="AD548" s="321"/>
      <c r="AE548" s="321"/>
    </row>
    <row r="549" spans="3:31" x14ac:dyDescent="0.25">
      <c r="C549" s="321"/>
      <c r="D549" s="321"/>
      <c r="E549" s="321"/>
      <c r="F549" s="321"/>
      <c r="G549" s="321"/>
      <c r="H549" s="321"/>
      <c r="I549" s="321"/>
      <c r="J549" s="321"/>
      <c r="K549" s="321"/>
      <c r="L549" s="321"/>
      <c r="M549" s="321"/>
      <c r="N549" s="321"/>
      <c r="O549" s="321"/>
      <c r="P549" s="321"/>
      <c r="Q549" s="321"/>
      <c r="R549" s="321"/>
      <c r="S549" s="321"/>
      <c r="T549" s="321"/>
      <c r="U549" s="321"/>
      <c r="V549" s="321"/>
      <c r="W549" s="321"/>
      <c r="X549" s="321"/>
      <c r="Y549" s="321"/>
      <c r="Z549" s="321"/>
      <c r="AA549" s="321"/>
      <c r="AB549" s="321"/>
      <c r="AC549" s="321"/>
      <c r="AD549" s="321"/>
      <c r="AE549" s="321"/>
    </row>
    <row r="550" spans="3:31" x14ac:dyDescent="0.25">
      <c r="C550" s="321"/>
      <c r="D550" s="321"/>
      <c r="E550" s="321" t="s">
        <v>81</v>
      </c>
      <c r="F550" s="321">
        <v>8</v>
      </c>
      <c r="G550" s="321">
        <f t="shared" ref="G550:L550" si="71">F550-1</f>
        <v>7</v>
      </c>
      <c r="H550" s="321">
        <f t="shared" si="71"/>
        <v>6</v>
      </c>
      <c r="I550" s="321">
        <f t="shared" si="71"/>
        <v>5</v>
      </c>
      <c r="J550" s="321">
        <f t="shared" si="71"/>
        <v>4</v>
      </c>
      <c r="K550" s="321">
        <f t="shared" si="71"/>
        <v>3</v>
      </c>
      <c r="L550" s="321">
        <f t="shared" si="71"/>
        <v>2</v>
      </c>
      <c r="M550" s="321"/>
      <c r="N550" s="321"/>
      <c r="O550" s="321"/>
      <c r="P550" s="321"/>
      <c r="Q550" s="321"/>
      <c r="R550" s="321"/>
      <c r="S550" s="321"/>
      <c r="T550" s="321"/>
      <c r="U550" s="321"/>
      <c r="V550" s="321"/>
      <c r="W550" s="321"/>
      <c r="X550" s="321"/>
      <c r="Y550" s="321"/>
      <c r="Z550" s="321"/>
      <c r="AA550" s="321"/>
      <c r="AB550" s="321"/>
      <c r="AC550" s="321"/>
      <c r="AD550" s="321"/>
      <c r="AE550" s="321"/>
    </row>
    <row r="551" spans="3:31" x14ac:dyDescent="0.25">
      <c r="C551" s="321"/>
      <c r="D551" s="321"/>
      <c r="E551" s="321" t="s">
        <v>77</v>
      </c>
      <c r="F551" s="321">
        <v>2020</v>
      </c>
      <c r="G551" s="321">
        <v>2021</v>
      </c>
      <c r="H551" s="321">
        <v>2022</v>
      </c>
      <c r="I551" s="321">
        <v>2023</v>
      </c>
      <c r="J551" s="321">
        <v>2024</v>
      </c>
      <c r="K551" s="321">
        <v>2025</v>
      </c>
      <c r="L551" s="321">
        <v>2026</v>
      </c>
      <c r="M551" s="321"/>
      <c r="N551" s="321"/>
      <c r="O551" s="321"/>
      <c r="P551" s="321"/>
      <c r="Q551" s="321"/>
      <c r="R551" s="321"/>
      <c r="S551" s="321"/>
      <c r="T551" s="321"/>
      <c r="U551" s="321"/>
      <c r="V551" s="321"/>
      <c r="W551" s="321"/>
      <c r="X551" s="321"/>
      <c r="Y551" s="321"/>
      <c r="Z551" s="321"/>
      <c r="AA551" s="321"/>
      <c r="AB551" s="321"/>
      <c r="AC551" s="321"/>
      <c r="AD551" s="321"/>
      <c r="AE551" s="321"/>
    </row>
    <row r="552" spans="3:31" x14ac:dyDescent="0.25">
      <c r="C552" s="321"/>
      <c r="D552" s="321"/>
      <c r="E552" s="321" t="s">
        <v>82</v>
      </c>
      <c r="F552" s="321">
        <f>VLOOKUP(1,F$531:$M$548,F$550,0)</f>
        <v>0</v>
      </c>
      <c r="G552" s="321">
        <f ca="1">VLOOKUP(1,G$531:$M$548,G$550,0)</f>
        <v>12</v>
      </c>
      <c r="H552" s="321">
        <f ca="1">VLOOKUP(1,H$531:$M$548,H$550,0)</f>
        <v>12</v>
      </c>
      <c r="I552" s="321">
        <f ca="1">VLOOKUP(1,I$531:$M$548,I$550,0)</f>
        <v>12</v>
      </c>
      <c r="J552" s="321">
        <f ca="1">VLOOKUP(1,J$531:$M$548,J$550,0)</f>
        <v>12</v>
      </c>
      <c r="K552" s="321">
        <f ca="1">VLOOKUP(1,K$531:$M$548,K$550,0)</f>
        <v>12</v>
      </c>
      <c r="L552" s="321">
        <f>VLOOKUP(1,L$531:$M$548,L$550,0)</f>
        <v>12</v>
      </c>
      <c r="M552" s="321"/>
      <c r="N552" s="321"/>
      <c r="O552" s="321"/>
      <c r="P552" s="321"/>
      <c r="Q552" s="321"/>
      <c r="R552" s="321"/>
      <c r="S552" s="321"/>
      <c r="T552" s="321"/>
      <c r="U552" s="321"/>
      <c r="V552" s="321"/>
      <c r="W552" s="321"/>
      <c r="X552" s="321"/>
      <c r="Y552" s="321"/>
      <c r="Z552" s="321"/>
      <c r="AA552" s="321"/>
      <c r="AB552" s="321"/>
      <c r="AC552" s="321"/>
      <c r="AD552" s="321"/>
      <c r="AE552" s="321"/>
    </row>
    <row r="553" spans="3:31" x14ac:dyDescent="0.25">
      <c r="C553" s="321"/>
      <c r="D553" s="321"/>
      <c r="E553" s="321" t="s">
        <v>83</v>
      </c>
      <c r="F553" s="334" t="e">
        <f t="shared" ref="F553:L553" ca="1" si="72">(INDIRECT(ADDRESS(ROW($E$510)+F552-1,COLUMN(F552)))-INDIRECT(ADDRESS(ROW($E$510)+F552-1,COLUMN($E$510))))/((INDIRECT(ADDRESS(ROW($E$510)+F552,COLUMN($E$510)))-INDIRECT(ADDRESS(ROW($E$510)+F552-1,COLUMN($E$510))))-(INDIRECT(ADDRESS(ROW($E$510)+F552,COLUMN(F552)))-INDIRECT(ADDRESS(ROW($E$510)+F552-1,COLUMN(F552)))))</f>
        <v>#VALUE!</v>
      </c>
      <c r="G553" s="334" t="e">
        <f t="shared" ca="1" si="72"/>
        <v>#REF!</v>
      </c>
      <c r="H553" s="334" t="e">
        <f t="shared" ca="1" si="72"/>
        <v>#REF!</v>
      </c>
      <c r="I553" s="334" t="e">
        <f t="shared" ca="1" si="72"/>
        <v>#REF!</v>
      </c>
      <c r="J553" s="334" t="e">
        <f t="shared" ca="1" si="72"/>
        <v>#REF!</v>
      </c>
      <c r="K553" s="334" t="e">
        <f t="shared" ca="1" si="72"/>
        <v>#REF!</v>
      </c>
      <c r="L553" s="334" t="e">
        <f t="shared" ca="1" si="72"/>
        <v>#REF!</v>
      </c>
      <c r="M553" s="321"/>
      <c r="N553" s="321"/>
      <c r="O553" s="321"/>
      <c r="P553" s="321"/>
      <c r="Q553" s="321"/>
      <c r="R553" s="321"/>
      <c r="S553" s="321"/>
      <c r="T553" s="321"/>
      <c r="U553" s="321"/>
      <c r="V553" s="321"/>
      <c r="W553" s="321"/>
      <c r="X553" s="321"/>
      <c r="Y553" s="321"/>
      <c r="Z553" s="321"/>
      <c r="AA553" s="321"/>
      <c r="AB553" s="321"/>
      <c r="AC553" s="321"/>
      <c r="AD553" s="321"/>
      <c r="AE553" s="321"/>
    </row>
    <row r="554" spans="3:31" x14ac:dyDescent="0.25">
      <c r="C554" s="321"/>
      <c r="D554" s="321"/>
      <c r="E554" s="321" t="s">
        <v>84</v>
      </c>
      <c r="F554" s="321" t="e">
        <f t="shared" ref="F554:L554" ca="1" si="73">F552-1+F553</f>
        <v>#VALUE!</v>
      </c>
      <c r="G554" s="321" t="e">
        <f t="shared" ca="1" si="73"/>
        <v>#REF!</v>
      </c>
      <c r="H554" s="321" t="e">
        <f t="shared" ca="1" si="73"/>
        <v>#REF!</v>
      </c>
      <c r="I554" s="321" t="e">
        <f t="shared" ca="1" si="73"/>
        <v>#REF!</v>
      </c>
      <c r="J554" s="321" t="e">
        <f t="shared" ca="1" si="73"/>
        <v>#REF!</v>
      </c>
      <c r="K554" s="321" t="e">
        <f t="shared" ca="1" si="73"/>
        <v>#REF!</v>
      </c>
      <c r="L554" s="321" t="e">
        <f t="shared" ca="1" si="73"/>
        <v>#REF!</v>
      </c>
      <c r="M554" s="321"/>
      <c r="N554" s="321"/>
      <c r="O554" s="321"/>
      <c r="P554" s="321"/>
      <c r="Q554" s="321"/>
      <c r="R554" s="321"/>
      <c r="S554" s="321"/>
      <c r="T554" s="321"/>
      <c r="U554" s="321"/>
      <c r="V554" s="321"/>
      <c r="W554" s="321"/>
      <c r="X554" s="321"/>
      <c r="Y554" s="321"/>
      <c r="Z554" s="321"/>
      <c r="AA554" s="321"/>
      <c r="AB554" s="321"/>
      <c r="AC554" s="321"/>
      <c r="AD554" s="321"/>
      <c r="AE554" s="321"/>
    </row>
    <row r="555" spans="3:31" x14ac:dyDescent="0.25">
      <c r="C555" s="321"/>
      <c r="D555" s="321"/>
      <c r="E555" s="321"/>
      <c r="F555" s="321"/>
      <c r="G555" s="321"/>
      <c r="H555" s="321"/>
      <c r="I555" s="321"/>
      <c r="J555" s="321"/>
      <c r="K555" s="321"/>
      <c r="L555" s="321"/>
      <c r="M555" s="321"/>
      <c r="N555" s="321"/>
      <c r="O555" s="321"/>
      <c r="P555" s="321"/>
      <c r="Q555" s="321"/>
      <c r="R555" s="321"/>
      <c r="S555" s="321"/>
      <c r="T555" s="321"/>
      <c r="U555" s="321"/>
      <c r="V555" s="321"/>
      <c r="W555" s="321"/>
      <c r="X555" s="321"/>
      <c r="Y555" s="321"/>
      <c r="Z555" s="321"/>
      <c r="AA555" s="321"/>
      <c r="AB555" s="321"/>
      <c r="AC555" s="321"/>
      <c r="AD555" s="321"/>
      <c r="AE555" s="321"/>
    </row>
    <row r="556" spans="3:31" x14ac:dyDescent="0.25">
      <c r="C556" s="321"/>
      <c r="D556" s="321"/>
      <c r="E556" s="321"/>
      <c r="F556" s="321"/>
      <c r="G556" s="321"/>
      <c r="H556" s="321"/>
      <c r="I556" s="321"/>
      <c r="J556" s="321"/>
      <c r="K556" s="321"/>
      <c r="L556" s="321"/>
      <c r="M556" s="321"/>
      <c r="N556" s="321"/>
      <c r="O556" s="321"/>
      <c r="P556" s="321"/>
      <c r="Q556" s="321"/>
      <c r="R556" s="321"/>
      <c r="S556" s="321"/>
      <c r="T556" s="321"/>
      <c r="U556" s="321"/>
      <c r="V556" s="321"/>
      <c r="W556" s="321"/>
      <c r="X556" s="321"/>
      <c r="Y556" s="321"/>
      <c r="Z556" s="321"/>
      <c r="AA556" s="321"/>
      <c r="AB556" s="321"/>
      <c r="AC556" s="321"/>
      <c r="AD556" s="321"/>
      <c r="AE556" s="321"/>
    </row>
    <row r="557" spans="3:31" x14ac:dyDescent="0.25">
      <c r="C557" s="321"/>
      <c r="D557" s="321"/>
      <c r="E557" s="321"/>
      <c r="F557" s="321"/>
      <c r="G557" s="321"/>
      <c r="H557" s="321"/>
      <c r="I557" s="321"/>
      <c r="J557" s="321"/>
      <c r="K557" s="321"/>
      <c r="L557" s="321"/>
      <c r="M557" s="321"/>
      <c r="N557" s="321"/>
      <c r="O557" s="321"/>
      <c r="P557" s="321"/>
      <c r="Q557" s="321"/>
      <c r="R557" s="321"/>
      <c r="S557" s="321"/>
      <c r="T557" s="321"/>
      <c r="U557" s="321"/>
      <c r="V557" s="321"/>
      <c r="W557" s="321"/>
      <c r="X557" s="321"/>
      <c r="Y557" s="321"/>
      <c r="Z557" s="321"/>
      <c r="AA557" s="321"/>
      <c r="AB557" s="321"/>
      <c r="AC557" s="321"/>
      <c r="AD557" s="321"/>
      <c r="AE557" s="321"/>
    </row>
    <row r="558" spans="3:31" x14ac:dyDescent="0.25">
      <c r="C558" s="321"/>
      <c r="D558" s="321"/>
      <c r="E558" s="321"/>
      <c r="F558" s="321"/>
      <c r="G558" s="321"/>
      <c r="H558" s="321"/>
      <c r="I558" s="321"/>
      <c r="J558" s="321"/>
      <c r="K558" s="321"/>
      <c r="L558" s="321"/>
      <c r="M558" s="321"/>
      <c r="N558" s="321"/>
      <c r="O558" s="321"/>
      <c r="P558" s="321"/>
      <c r="Q558" s="321"/>
      <c r="R558" s="321"/>
      <c r="S558" s="321"/>
      <c r="T558" s="321"/>
      <c r="U558" s="321"/>
      <c r="V558" s="321"/>
      <c r="W558" s="321"/>
      <c r="X558" s="321"/>
      <c r="Y558" s="321"/>
      <c r="Z558" s="321"/>
      <c r="AA558" s="321"/>
      <c r="AB558" s="321"/>
      <c r="AC558" s="321"/>
      <c r="AD558" s="321"/>
      <c r="AE558" s="321"/>
    </row>
    <row r="559" spans="3:31" x14ac:dyDescent="0.25">
      <c r="C559" s="321"/>
      <c r="D559" s="321"/>
      <c r="E559" s="321"/>
      <c r="F559" s="321"/>
      <c r="G559" s="321"/>
      <c r="H559" s="321"/>
      <c r="I559" s="321"/>
      <c r="J559" s="321"/>
      <c r="K559" s="321"/>
      <c r="L559" s="321"/>
      <c r="M559" s="321"/>
      <c r="N559" s="321"/>
      <c r="O559" s="321"/>
      <c r="P559" s="321"/>
      <c r="Q559" s="321"/>
      <c r="R559" s="321"/>
      <c r="S559" s="321"/>
      <c r="T559" s="321"/>
      <c r="U559" s="321"/>
      <c r="V559" s="321"/>
      <c r="W559" s="321"/>
      <c r="X559" s="321"/>
      <c r="Y559" s="321"/>
      <c r="Z559" s="321"/>
      <c r="AA559" s="321"/>
      <c r="AB559" s="321"/>
      <c r="AC559" s="321"/>
      <c r="AD559" s="321"/>
      <c r="AE559" s="321"/>
    </row>
    <row r="560" spans="3:31" x14ac:dyDescent="0.25">
      <c r="C560" s="321"/>
      <c r="D560" s="321"/>
      <c r="E560" s="321"/>
      <c r="F560" s="321"/>
      <c r="G560" s="321"/>
      <c r="H560" s="321"/>
      <c r="I560" s="321"/>
      <c r="J560" s="321"/>
      <c r="K560" s="321"/>
      <c r="L560" s="321"/>
      <c r="M560" s="321"/>
      <c r="N560" s="321"/>
      <c r="O560" s="321"/>
      <c r="P560" s="321"/>
      <c r="Q560" s="321"/>
      <c r="R560" s="321"/>
      <c r="S560" s="321"/>
      <c r="T560" s="321"/>
      <c r="U560" s="321"/>
      <c r="V560" s="321"/>
      <c r="W560" s="321"/>
      <c r="X560" s="321"/>
      <c r="Y560" s="321"/>
      <c r="Z560" s="321"/>
      <c r="AA560" s="321"/>
      <c r="AB560" s="321"/>
      <c r="AC560" s="321"/>
      <c r="AD560" s="321"/>
      <c r="AE560" s="321"/>
    </row>
    <row r="561" spans="3:31" x14ac:dyDescent="0.25">
      <c r="C561" s="321"/>
      <c r="D561" s="321"/>
      <c r="E561" s="321"/>
      <c r="F561" s="321"/>
      <c r="G561" s="321"/>
      <c r="H561" s="321"/>
      <c r="I561" s="321"/>
      <c r="J561" s="321"/>
      <c r="K561" s="321"/>
      <c r="L561" s="321"/>
      <c r="M561" s="321"/>
      <c r="N561" s="321"/>
      <c r="O561" s="321"/>
      <c r="P561" s="321"/>
      <c r="Q561" s="321"/>
      <c r="R561" s="321"/>
      <c r="S561" s="321"/>
      <c r="T561" s="321"/>
      <c r="U561" s="321"/>
      <c r="V561" s="321"/>
      <c r="W561" s="321"/>
      <c r="X561" s="321"/>
      <c r="Y561" s="321"/>
      <c r="Z561" s="321"/>
      <c r="AA561" s="321"/>
      <c r="AB561" s="321"/>
      <c r="AC561" s="321"/>
      <c r="AD561" s="321"/>
      <c r="AE561" s="321"/>
    </row>
    <row r="562" spans="3:31" x14ac:dyDescent="0.25">
      <c r="C562" s="321"/>
      <c r="D562" s="321"/>
      <c r="E562" s="321"/>
      <c r="F562" s="321"/>
      <c r="G562" s="321"/>
      <c r="H562" s="321"/>
      <c r="I562" s="321"/>
      <c r="J562" s="321"/>
      <c r="K562" s="321"/>
      <c r="L562" s="321"/>
      <c r="M562" s="321"/>
      <c r="N562" s="321"/>
      <c r="O562" s="321"/>
      <c r="P562" s="321"/>
      <c r="Q562" s="321"/>
      <c r="R562" s="321"/>
      <c r="S562" s="321"/>
      <c r="T562" s="321"/>
      <c r="U562" s="321"/>
      <c r="V562" s="321"/>
      <c r="W562" s="321"/>
      <c r="X562" s="321"/>
      <c r="Y562" s="321"/>
      <c r="Z562" s="321"/>
      <c r="AA562" s="321"/>
      <c r="AB562" s="321"/>
      <c r="AC562" s="321"/>
      <c r="AD562" s="321"/>
      <c r="AE562" s="321"/>
    </row>
    <row r="563" spans="3:31" x14ac:dyDescent="0.25">
      <c r="C563" s="321"/>
      <c r="D563" s="321"/>
      <c r="E563" s="321"/>
      <c r="F563" s="321"/>
      <c r="G563" s="321"/>
      <c r="H563" s="321"/>
      <c r="I563" s="321"/>
      <c r="J563" s="321"/>
      <c r="K563" s="321"/>
      <c r="L563" s="321"/>
      <c r="M563" s="321"/>
      <c r="N563" s="321"/>
      <c r="O563" s="321"/>
      <c r="P563" s="321"/>
      <c r="Q563" s="321"/>
      <c r="R563" s="321"/>
      <c r="S563" s="321"/>
      <c r="T563" s="321"/>
      <c r="U563" s="321"/>
      <c r="V563" s="321"/>
      <c r="W563" s="321"/>
      <c r="X563" s="321"/>
      <c r="Y563" s="321"/>
      <c r="Z563" s="321"/>
      <c r="AA563" s="321"/>
      <c r="AB563" s="321"/>
      <c r="AC563" s="321"/>
      <c r="AD563" s="321"/>
      <c r="AE563" s="321"/>
    </row>
    <row r="564" spans="3:31" x14ac:dyDescent="0.25">
      <c r="C564" s="321"/>
      <c r="D564" s="321"/>
      <c r="E564" s="321"/>
      <c r="F564" s="321"/>
      <c r="G564" s="321"/>
      <c r="H564" s="321"/>
      <c r="I564" s="321"/>
      <c r="J564" s="321"/>
      <c r="K564" s="321"/>
      <c r="L564" s="321"/>
      <c r="M564" s="321"/>
      <c r="N564" s="321"/>
      <c r="O564" s="321"/>
      <c r="P564" s="321"/>
      <c r="Q564" s="321"/>
      <c r="R564" s="321"/>
      <c r="S564" s="321"/>
      <c r="T564" s="321"/>
      <c r="U564" s="321"/>
      <c r="V564" s="321"/>
      <c r="W564" s="321"/>
      <c r="X564" s="321"/>
      <c r="Y564" s="321"/>
      <c r="Z564" s="321"/>
      <c r="AA564" s="321"/>
      <c r="AB564" s="321"/>
      <c r="AC564" s="321"/>
      <c r="AD564" s="321"/>
      <c r="AE564" s="321"/>
    </row>
    <row r="567" spans="3:31" hidden="1" x14ac:dyDescent="0.25"/>
    <row r="568" spans="3:31" hidden="1" x14ac:dyDescent="0.25">
      <c r="C568" s="182"/>
      <c r="D568" s="182"/>
      <c r="E568" s="183"/>
      <c r="F568" s="183"/>
      <c r="G568" s="184"/>
      <c r="H568" s="184"/>
      <c r="I568" s="184"/>
      <c r="J568" s="184"/>
      <c r="K568" s="184"/>
      <c r="L568" s="184"/>
      <c r="M568" s="184"/>
      <c r="N568" s="184"/>
      <c r="O568" s="184"/>
      <c r="P568" s="182"/>
      <c r="Q568" s="308" t="s">
        <v>85</v>
      </c>
      <c r="R568" s="308"/>
      <c r="S568" s="308"/>
      <c r="T568" s="308"/>
      <c r="U568" s="308"/>
      <c r="V568" s="308"/>
      <c r="W568" s="184"/>
      <c r="X568" s="184"/>
      <c r="Y568" s="184"/>
    </row>
    <row r="569" spans="3:31" s="187" customFormat="1" ht="75" hidden="1" x14ac:dyDescent="0.25">
      <c r="C569" s="185" t="s">
        <v>86</v>
      </c>
      <c r="D569" s="185" t="s">
        <v>87</v>
      </c>
      <c r="E569" s="185" t="s">
        <v>88</v>
      </c>
      <c r="F569" s="185" t="s">
        <v>89</v>
      </c>
      <c r="G569" s="185" t="s">
        <v>90</v>
      </c>
      <c r="H569" s="186" t="s">
        <v>91</v>
      </c>
      <c r="I569" s="186" t="s">
        <v>92</v>
      </c>
    </row>
    <row r="570" spans="3:31" s="192" customFormat="1" hidden="1" x14ac:dyDescent="0.25">
      <c r="C570" s="188" t="e">
        <f>SUM(#REF!)</f>
        <v>#REF!</v>
      </c>
      <c r="D570" s="189"/>
      <c r="E570" s="190"/>
      <c r="F570" s="190"/>
      <c r="G570" s="190"/>
      <c r="H570" s="191"/>
      <c r="I570" s="191"/>
    </row>
    <row r="571" spans="3:31" s="192" customFormat="1" hidden="1" x14ac:dyDescent="0.25">
      <c r="C571" s="193" t="e">
        <f>#REF!+Comparaison!D37</f>
        <v>#REF!</v>
      </c>
      <c r="D571" s="194"/>
      <c r="E571" s="194"/>
      <c r="F571" s="195" t="s">
        <v>93</v>
      </c>
      <c r="G571" s="194"/>
      <c r="H571" s="196"/>
      <c r="I571" s="196"/>
    </row>
    <row r="572" spans="3:31" s="192" customFormat="1" ht="15.75" hidden="1" thickBot="1" x14ac:dyDescent="0.3">
      <c r="C572" s="197" t="e">
        <f>SUM(C571,C574)/2</f>
        <v>#REF!</v>
      </c>
      <c r="D572" s="198"/>
      <c r="E572" s="199"/>
      <c r="F572" s="199"/>
      <c r="G572" s="199"/>
      <c r="H572" s="200"/>
      <c r="I572" s="200"/>
    </row>
    <row r="573" spans="3:31" s="204" customFormat="1" ht="15.75" hidden="1" thickTop="1" x14ac:dyDescent="0.25">
      <c r="C573" s="201" t="e">
        <f>Comparaison!#REF!+Comparaison!D44+Comparaison!D35+Comparaison!$D$37</f>
        <v>#REF!</v>
      </c>
      <c r="D573" s="201" t="e">
        <f>C573*0.44</f>
        <v>#REF!</v>
      </c>
      <c r="E573" s="201" t="e">
        <f>C573+D573</f>
        <v>#REF!</v>
      </c>
      <c r="F573" s="201">
        <f>Comparaison!D38</f>
        <v>0</v>
      </c>
      <c r="G573" s="201" t="e">
        <f>E573+F573</f>
        <v>#REF!</v>
      </c>
      <c r="H573" s="202" t="e">
        <f ca="1">'Feuille de calcul'!O532</f>
        <v>#VALUE!</v>
      </c>
      <c r="I573" s="203">
        <f>-(1-('Feuille de calcul'!$D$112/'Feuille de calcul'!$D$79))</f>
        <v>-0.61808128919584027</v>
      </c>
    </row>
    <row r="574" spans="3:31" s="209" customFormat="1" hidden="1" x14ac:dyDescent="0.25">
      <c r="C574" s="205" t="e">
        <f t="shared" ref="C574:C579" si="74">C$573*G584</f>
        <v>#REF!</v>
      </c>
      <c r="D574" s="206" t="e">
        <f t="shared" ref="D574:D579" si="75">E574-C574</f>
        <v>#REF!</v>
      </c>
      <c r="E574" s="206">
        <f t="shared" ref="E574:E579" si="76">G574-F574</f>
        <v>41500</v>
      </c>
      <c r="F574" s="205">
        <f t="shared" ref="F574:F579" si="77">F$573*K584</f>
        <v>0</v>
      </c>
      <c r="G574" s="205">
        <v>41500</v>
      </c>
      <c r="H574" s="207" t="e">
        <f ca="1">'Feuille de calcul'!O533</f>
        <v>#REF!</v>
      </c>
      <c r="I574" s="208" t="e">
        <f>-(1-('Feuille de calcul'!D156/'Feuille de calcul'!$D$79))</f>
        <v>#REF!</v>
      </c>
    </row>
    <row r="575" spans="3:31" s="210" customFormat="1" hidden="1" x14ac:dyDescent="0.25">
      <c r="C575" s="205" t="e">
        <f t="shared" si="74"/>
        <v>#REF!</v>
      </c>
      <c r="D575" s="206" t="e">
        <f t="shared" si="75"/>
        <v>#REF!</v>
      </c>
      <c r="E575" s="206">
        <f t="shared" si="76"/>
        <v>41500</v>
      </c>
      <c r="F575" s="205">
        <f t="shared" si="77"/>
        <v>0</v>
      </c>
      <c r="G575" s="205">
        <v>41500</v>
      </c>
      <c r="H575" s="207" t="e">
        <f ca="1">'Feuille de calcul'!O534</f>
        <v>#REF!</v>
      </c>
      <c r="I575" s="208" t="e">
        <f>-(1-('Feuille de calcul'!D183/'Feuille de calcul'!$D$79))</f>
        <v>#REF!</v>
      </c>
    </row>
    <row r="576" spans="3:31" s="210" customFormat="1" hidden="1" x14ac:dyDescent="0.25">
      <c r="C576" s="205" t="e">
        <f t="shared" si="74"/>
        <v>#REF!</v>
      </c>
      <c r="D576" s="206" t="e">
        <f t="shared" si="75"/>
        <v>#REF!</v>
      </c>
      <c r="E576" s="206">
        <f t="shared" si="76"/>
        <v>41500</v>
      </c>
      <c r="F576" s="205">
        <f t="shared" si="77"/>
        <v>0</v>
      </c>
      <c r="G576" s="205">
        <v>41500</v>
      </c>
      <c r="H576" s="207" t="e">
        <f ca="1">'Feuille de calcul'!O535</f>
        <v>#REF!</v>
      </c>
      <c r="I576" s="208" t="e">
        <f>-(1-('Feuille de calcul'!D211/'Feuille de calcul'!$D$79))</f>
        <v>#REF!</v>
      </c>
    </row>
    <row r="577" spans="3:26" s="210" customFormat="1" hidden="1" x14ac:dyDescent="0.25">
      <c r="C577" s="205" t="e">
        <f t="shared" si="74"/>
        <v>#REF!</v>
      </c>
      <c r="D577" s="206" t="e">
        <f t="shared" si="75"/>
        <v>#REF!</v>
      </c>
      <c r="E577" s="206">
        <f t="shared" si="76"/>
        <v>41500</v>
      </c>
      <c r="F577" s="205">
        <f t="shared" si="77"/>
        <v>0</v>
      </c>
      <c r="G577" s="205">
        <v>41500</v>
      </c>
      <c r="H577" s="207" t="e">
        <f ca="1">'Feuille de calcul'!O536</f>
        <v>#REF!</v>
      </c>
      <c r="I577" s="208" t="e">
        <f>-(1-('Feuille de calcul'!D240/'Feuille de calcul'!$D$79))</f>
        <v>#REF!</v>
      </c>
    </row>
    <row r="578" spans="3:26" s="210" customFormat="1" hidden="1" x14ac:dyDescent="0.25">
      <c r="C578" s="205" t="e">
        <f t="shared" si="74"/>
        <v>#REF!</v>
      </c>
      <c r="D578" s="206" t="e">
        <f t="shared" si="75"/>
        <v>#REF!</v>
      </c>
      <c r="E578" s="206">
        <f t="shared" si="76"/>
        <v>41500</v>
      </c>
      <c r="F578" s="205">
        <f t="shared" si="77"/>
        <v>0</v>
      </c>
      <c r="G578" s="205">
        <v>41500</v>
      </c>
      <c r="H578" s="207" t="e">
        <f ca="1">'Feuille de calcul'!O537</f>
        <v>#REF!</v>
      </c>
      <c r="I578" s="208" t="e">
        <f>-(1-('Feuille de calcul'!D268/'Feuille de calcul'!$D$79))</f>
        <v>#REF!</v>
      </c>
    </row>
    <row r="579" spans="3:26" s="210" customFormat="1" hidden="1" x14ac:dyDescent="0.25">
      <c r="C579" s="211" t="e">
        <f t="shared" si="74"/>
        <v>#REF!</v>
      </c>
      <c r="D579" s="212" t="e">
        <f t="shared" si="75"/>
        <v>#REF!</v>
      </c>
      <c r="E579" s="212">
        <f t="shared" si="76"/>
        <v>41500</v>
      </c>
      <c r="F579" s="211">
        <f t="shared" si="77"/>
        <v>0</v>
      </c>
      <c r="G579" s="211">
        <v>41500</v>
      </c>
      <c r="H579" s="213" t="e">
        <f ca="1">'Feuille de calcul'!O538</f>
        <v>#REF!</v>
      </c>
      <c r="I579" s="214" t="e">
        <f>-(1-('Feuille de calcul'!D296/'Feuille de calcul'!$D$79))</f>
        <v>#REF!</v>
      </c>
    </row>
    <row r="580" spans="3:26" ht="13.5" hidden="1" customHeight="1" x14ac:dyDescent="0.25">
      <c r="C580" s="182"/>
      <c r="D580" s="182"/>
      <c r="E580" s="183"/>
      <c r="F580" s="183"/>
      <c r="G580" s="184"/>
      <c r="H580" s="184"/>
      <c r="I580" s="215"/>
      <c r="J580" s="184"/>
      <c r="K580" s="184"/>
      <c r="L580" s="184"/>
      <c r="M580" s="184"/>
      <c r="N580" s="184"/>
      <c r="O580" s="184"/>
      <c r="P580" s="182"/>
      <c r="Q580" s="182"/>
      <c r="R580" s="182"/>
      <c r="S580" s="182"/>
      <c r="T580" s="184"/>
      <c r="U580" s="184"/>
      <c r="V580" s="184"/>
      <c r="W580" s="184"/>
      <c r="X580" s="184"/>
      <c r="Y580" s="184"/>
    </row>
    <row r="581" spans="3:26" hidden="1" x14ac:dyDescent="0.25">
      <c r="C581" s="182"/>
      <c r="D581" s="182"/>
      <c r="E581" s="183"/>
      <c r="F581" s="183"/>
      <c r="G581" s="184"/>
      <c r="H581" s="184"/>
      <c r="I581" s="184"/>
      <c r="J581" s="184"/>
      <c r="K581" s="184"/>
      <c r="L581" s="184"/>
      <c r="M581" s="184"/>
      <c r="N581" s="184"/>
      <c r="O581" s="216"/>
      <c r="P581" s="217"/>
      <c r="Q581" s="217"/>
      <c r="R581" s="182"/>
      <c r="S581" s="182"/>
      <c r="U581" s="184"/>
      <c r="V581" s="184"/>
      <c r="W581" s="184">
        <v>2023</v>
      </c>
      <c r="X581" s="184">
        <v>6</v>
      </c>
      <c r="Y581" s="184" t="e">
        <f>#REF!</f>
        <v>#REF!</v>
      </c>
      <c r="Z581" s="218" t="e">
        <f>Y581/(1+#REF!)^X581</f>
        <v>#REF!</v>
      </c>
    </row>
    <row r="582" spans="3:26" hidden="1" x14ac:dyDescent="0.25">
      <c r="C582" s="182"/>
      <c r="D582" s="182"/>
      <c r="E582" s="183"/>
      <c r="F582" s="183"/>
      <c r="G582" s="184"/>
      <c r="H582" s="184"/>
      <c r="I582" s="184"/>
      <c r="J582" s="184"/>
      <c r="K582" s="184"/>
      <c r="L582" s="184"/>
      <c r="M582" s="184"/>
      <c r="N582" s="184"/>
      <c r="O582" s="216"/>
      <c r="P582" s="217"/>
      <c r="Q582" s="217"/>
      <c r="R582" s="182"/>
      <c r="S582" s="182"/>
      <c r="U582" s="184"/>
      <c r="V582" s="184"/>
      <c r="W582" s="184">
        <v>2024</v>
      </c>
      <c r="X582" s="184">
        <v>7</v>
      </c>
      <c r="Y582" s="184" t="e">
        <f>#REF!</f>
        <v>#REF!</v>
      </c>
      <c r="Z582" s="218" t="e">
        <f>Y582/(1+#REF!)^X582</f>
        <v>#REF!</v>
      </c>
    </row>
    <row r="583" spans="3:26" ht="15.75" hidden="1" customHeight="1" x14ac:dyDescent="0.25">
      <c r="C583" s="301" t="s">
        <v>94</v>
      </c>
      <c r="D583" s="219">
        <v>1.6666666666666667</v>
      </c>
      <c r="E583" s="174"/>
      <c r="F583" s="174"/>
      <c r="G583" s="220">
        <v>1</v>
      </c>
      <c r="H583" s="220">
        <v>1</v>
      </c>
      <c r="I583" s="220"/>
      <c r="J583" s="174"/>
      <c r="K583" s="220">
        <v>1</v>
      </c>
      <c r="L583" s="174"/>
      <c r="O583" s="221"/>
      <c r="P583" s="222">
        <v>0.8</v>
      </c>
      <c r="Q583" s="223"/>
      <c r="R583" s="224"/>
      <c r="S583" s="224"/>
      <c r="T583" s="225">
        <v>1.3333333333333333</v>
      </c>
      <c r="U583" s="184"/>
      <c r="V583" s="184"/>
      <c r="W583" s="184">
        <v>2025</v>
      </c>
      <c r="X583" s="184">
        <v>8</v>
      </c>
      <c r="Y583" s="184" t="e">
        <f>#REF!</f>
        <v>#REF!</v>
      </c>
      <c r="Z583" s="218" t="e">
        <f>Y583/(1+#REF!)^X583</f>
        <v>#REF!</v>
      </c>
    </row>
    <row r="584" spans="3:26" ht="15.75" hidden="1" x14ac:dyDescent="0.25">
      <c r="C584" s="301"/>
      <c r="D584" s="219">
        <v>1.5</v>
      </c>
      <c r="E584" s="174"/>
      <c r="F584" s="174"/>
      <c r="G584" s="220">
        <v>0.93273082342153346</v>
      </c>
      <c r="H584" s="220">
        <v>1</v>
      </c>
      <c r="I584" s="220"/>
      <c r="J584" s="174"/>
      <c r="K584" s="220">
        <v>0.625</v>
      </c>
      <c r="L584" s="174"/>
      <c r="O584" s="221"/>
      <c r="P584" s="226">
        <v>0.75</v>
      </c>
      <c r="Q584" s="223"/>
      <c r="R584" s="224"/>
      <c r="S584" s="224"/>
      <c r="T584" s="225">
        <v>1</v>
      </c>
      <c r="U584" s="184"/>
      <c r="V584" s="184"/>
      <c r="W584" s="184">
        <v>2026</v>
      </c>
      <c r="X584" s="184">
        <v>9</v>
      </c>
      <c r="Y584" s="184" t="e">
        <f>#REF!</f>
        <v>#REF!</v>
      </c>
      <c r="Z584" s="218" t="e">
        <f>Y584/(1+#REF!)^X584</f>
        <v>#REF!</v>
      </c>
    </row>
    <row r="585" spans="3:26" ht="15.75" hidden="1" x14ac:dyDescent="0.25">
      <c r="C585" s="301"/>
      <c r="D585" s="219">
        <v>2</v>
      </c>
      <c r="E585" s="174"/>
      <c r="F585" s="174"/>
      <c r="G585" s="220">
        <v>0.87443514695768798</v>
      </c>
      <c r="H585" s="220">
        <v>1</v>
      </c>
      <c r="I585" s="220"/>
      <c r="J585" s="174"/>
      <c r="K585" s="220">
        <v>0.5</v>
      </c>
      <c r="L585" s="174"/>
      <c r="O585" s="221"/>
      <c r="P585" s="226">
        <v>1</v>
      </c>
      <c r="Q585" s="223"/>
      <c r="R585" s="224"/>
      <c r="S585" s="224"/>
      <c r="T585" s="225">
        <v>3.3333333333333335</v>
      </c>
      <c r="U585" s="184"/>
      <c r="V585" s="184"/>
      <c r="W585" s="184"/>
    </row>
    <row r="586" spans="3:26" ht="15.75" hidden="1" x14ac:dyDescent="0.25">
      <c r="C586" s="301"/>
      <c r="D586" s="219">
        <v>2.6666666666666665</v>
      </c>
      <c r="E586" s="227"/>
      <c r="F586" s="227"/>
      <c r="G586" s="220">
        <v>0.7</v>
      </c>
      <c r="H586" s="220">
        <v>0.86956521739130432</v>
      </c>
      <c r="I586" s="220"/>
      <c r="J586" s="228"/>
      <c r="K586" s="220">
        <v>0.5</v>
      </c>
      <c r="L586" s="227"/>
      <c r="M586" s="184"/>
      <c r="N586" s="184"/>
      <c r="O586" s="221"/>
      <c r="P586" s="226">
        <f>2/3</f>
        <v>0.66666666666666663</v>
      </c>
      <c r="Q586" s="217"/>
      <c r="R586" s="182"/>
      <c r="S586" s="182"/>
      <c r="T586" s="225">
        <v>0.625</v>
      </c>
      <c r="U586" s="184"/>
      <c r="V586" s="184"/>
      <c r="W586" s="184"/>
      <c r="X586" s="184"/>
      <c r="Y586" s="184"/>
      <c r="Z586" s="218" t="e">
        <f>SUM(Z581:Z585)</f>
        <v>#REF!</v>
      </c>
    </row>
    <row r="587" spans="3:26" hidden="1" x14ac:dyDescent="0.25">
      <c r="C587" s="301"/>
      <c r="D587" s="219">
        <v>1.875</v>
      </c>
      <c r="E587" s="227"/>
      <c r="F587" s="227"/>
      <c r="G587" s="220">
        <v>0.66</v>
      </c>
      <c r="H587" s="220">
        <v>0.86956521739130432</v>
      </c>
      <c r="I587" s="220"/>
      <c r="J587" s="228"/>
      <c r="K587" s="220">
        <v>0.25</v>
      </c>
      <c r="L587" s="227"/>
      <c r="M587" s="184"/>
      <c r="N587" s="184"/>
      <c r="O587" s="216"/>
      <c r="P587" s="226">
        <v>1</v>
      </c>
      <c r="Q587" s="217"/>
      <c r="R587" s="182"/>
      <c r="S587" s="182"/>
      <c r="T587" s="225">
        <v>4</v>
      </c>
      <c r="U587" s="184"/>
      <c r="V587" s="184"/>
      <c r="W587" s="184"/>
      <c r="X587" s="184"/>
      <c r="Y587" s="184"/>
    </row>
    <row r="588" spans="3:26" hidden="1" x14ac:dyDescent="0.25">
      <c r="C588" s="301"/>
      <c r="D588" s="219">
        <v>1.3333333333333333</v>
      </c>
      <c r="E588" s="227"/>
      <c r="F588" s="227"/>
      <c r="G588" s="220">
        <v>0.625</v>
      </c>
      <c r="H588" s="220">
        <v>0.82608695652173914</v>
      </c>
      <c r="I588" s="220"/>
      <c r="J588" s="228"/>
      <c r="K588" s="220">
        <v>0</v>
      </c>
      <c r="L588" s="227"/>
      <c r="M588" s="184"/>
      <c r="N588" s="184"/>
      <c r="O588" s="216"/>
      <c r="P588" s="226">
        <v>1</v>
      </c>
      <c r="Q588" s="217"/>
      <c r="R588" s="182"/>
      <c r="S588" s="182"/>
      <c r="T588" s="225">
        <v>0.5</v>
      </c>
      <c r="U588" s="184"/>
      <c r="V588" s="184"/>
      <c r="W588" s="184"/>
      <c r="X588" s="184"/>
      <c r="Y588" s="184"/>
    </row>
    <row r="589" spans="3:26" hidden="1" x14ac:dyDescent="0.25">
      <c r="C589" s="229"/>
      <c r="D589" s="182"/>
      <c r="E589" s="227"/>
      <c r="F589" s="227"/>
      <c r="G589" s="220">
        <v>0.6</v>
      </c>
      <c r="H589" s="220">
        <v>0.82608695652173914</v>
      </c>
      <c r="I589" s="220"/>
      <c r="J589" s="174"/>
      <c r="K589" s="220">
        <v>0</v>
      </c>
      <c r="L589" s="227"/>
      <c r="M589" s="184"/>
      <c r="N589" s="184"/>
      <c r="O589" s="216"/>
      <c r="P589" s="217"/>
      <c r="Q589" s="217"/>
      <c r="R589" s="182"/>
      <c r="S589" s="182"/>
      <c r="T589" s="184"/>
      <c r="U589" s="184"/>
      <c r="V589" s="184"/>
      <c r="W589" s="184"/>
      <c r="X589" s="184"/>
      <c r="Y589" s="184"/>
      <c r="Z589" s="230" t="e">
        <f>IRR(Y581:Y584,#REF!)</f>
        <v>#REF!</v>
      </c>
    </row>
    <row r="590" spans="3:26" hidden="1" x14ac:dyDescent="0.25">
      <c r="C590" s="182"/>
      <c r="D590" s="182"/>
      <c r="E590" s="183"/>
      <c r="F590" s="183"/>
      <c r="G590" s="184"/>
      <c r="H590" s="184"/>
      <c r="I590" s="184"/>
      <c r="J590" s="184"/>
      <c r="K590" s="184"/>
      <c r="L590" s="184"/>
      <c r="M590" s="184"/>
      <c r="N590" s="184"/>
      <c r="O590" s="184"/>
      <c r="P590" s="182"/>
      <c r="Q590" s="182"/>
      <c r="R590" s="182"/>
      <c r="S590" s="182"/>
      <c r="T590" s="184"/>
      <c r="U590" s="184"/>
      <c r="V590" s="184"/>
      <c r="W590" s="184"/>
      <c r="X590" s="184"/>
      <c r="Y590" s="184"/>
    </row>
    <row r="591" spans="3:26" hidden="1" x14ac:dyDescent="0.25"/>
    <row r="592" spans="3:26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</sheetData>
  <sheetProtection algorithmName="SHA-512" hashValue="nvMRktCbzg/jiE5nabdOivsqx4jekFpQwA3eYlSlFC3aiWWLz1i0A9Gp1Ia3GKS8cs3o96kQ1bM9xQSGdNEiyA==" saltValue="EnOAOeu7meHZLFh0sZPIGg==" spinCount="100000" sheet="1" objects="1" scenarios="1" selectLockedCells="1"/>
  <mergeCells count="26">
    <mergeCell ref="B73:B79"/>
    <mergeCell ref="C6:G6"/>
    <mergeCell ref="C7:C8"/>
    <mergeCell ref="D7:E7"/>
    <mergeCell ref="F7:G7"/>
    <mergeCell ref="C71:V71"/>
    <mergeCell ref="B226:B240"/>
    <mergeCell ref="B80:B86"/>
    <mergeCell ref="B87:B95"/>
    <mergeCell ref="C97:AN97"/>
    <mergeCell ref="B98:B112"/>
    <mergeCell ref="C141:AN141"/>
    <mergeCell ref="B142:B156"/>
    <mergeCell ref="C168:AN168"/>
    <mergeCell ref="B169:B183"/>
    <mergeCell ref="C196:AN196"/>
    <mergeCell ref="B197:B211"/>
    <mergeCell ref="C225:AN225"/>
    <mergeCell ref="C114:F114"/>
    <mergeCell ref="C583:C588"/>
    <mergeCell ref="C253:AN253"/>
    <mergeCell ref="B254:B268"/>
    <mergeCell ref="C281:AN281"/>
    <mergeCell ref="B282:B296"/>
    <mergeCell ref="M508:O508"/>
    <mergeCell ref="Q568:V568"/>
  </mergeCells>
  <hyperlinks>
    <hyperlink ref="I120" r:id="rId1"/>
    <hyperlink ref="I118" r:id="rId2"/>
    <hyperlink ref="I119" r:id="rId3"/>
    <hyperlink ref="I117" r:id="rId4"/>
  </hyperlinks>
  <pageMargins left="0.7" right="0.7" top="0.75" bottom="0.75" header="0.3" footer="0.3"/>
  <pageSetup orientation="portrait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Comparaison</vt:lpstr>
      <vt:lpstr>Feuille de calcul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 PC</cp:lastModifiedBy>
  <dcterms:created xsi:type="dcterms:W3CDTF">2018-04-10T16:28:30Z</dcterms:created>
  <dcterms:modified xsi:type="dcterms:W3CDTF">2019-03-21T17:59:37Z</dcterms:modified>
</cp:coreProperties>
</file>